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Evaluasi" sheetId="5" r:id="rId1"/>
    <sheet name="Mslh" sheetId="2" r:id="rId2"/>
  </sheets>
  <definedNames>
    <definedName name="_xlnm.Print_Titles" localSheetId="0">Evaluasi!$5:$8</definedName>
  </definedNames>
  <calcPr calcId="124519"/>
</workbook>
</file>

<file path=xl/calcChain.xml><?xml version="1.0" encoding="utf-8"?>
<calcChain xmlns="http://schemas.openxmlformats.org/spreadsheetml/2006/main">
  <c r="Q58" i="5"/>
  <c r="S76"/>
  <c r="M76"/>
  <c r="J76"/>
  <c r="H76"/>
  <c r="Q69"/>
  <c r="Q66"/>
  <c r="Q57"/>
  <c r="Q55"/>
  <c r="Q53"/>
  <c r="Q52"/>
  <c r="Q46"/>
  <c r="Q44"/>
  <c r="Q36"/>
  <c r="Q35"/>
  <c r="Q34"/>
  <c r="Q33"/>
  <c r="Q31"/>
  <c r="Q30"/>
  <c r="Q29"/>
  <c r="Q28"/>
  <c r="Q27"/>
  <c r="Q20"/>
  <c r="Q18"/>
  <c r="Q76" s="1"/>
  <c r="W75"/>
  <c r="U75"/>
  <c r="Y75" s="1"/>
  <c r="AA75" s="1"/>
  <c r="T75"/>
  <c r="V75" s="1"/>
  <c r="O58"/>
  <c r="O53"/>
  <c r="O46"/>
  <c r="O44"/>
  <c r="O43"/>
  <c r="O41"/>
  <c r="O36"/>
  <c r="O34"/>
  <c r="O33"/>
  <c r="O30"/>
  <c r="O28"/>
  <c r="O23"/>
  <c r="O21"/>
  <c r="O20"/>
  <c r="O76" s="1"/>
  <c r="K50"/>
  <c r="K37"/>
  <c r="K35"/>
  <c r="K34"/>
  <c r="K76" s="1"/>
  <c r="K28"/>
  <c r="F71"/>
  <c r="X75" l="1"/>
  <c r="Z75" s="1"/>
  <c r="Z11"/>
  <c r="U12"/>
  <c r="V12"/>
  <c r="V11"/>
  <c r="U11"/>
  <c r="X11"/>
  <c r="Y12" l="1"/>
  <c r="AA12" s="1"/>
  <c r="Y11"/>
  <c r="AA11" s="1"/>
  <c r="W11"/>
  <c r="X12"/>
  <c r="Z12" s="1"/>
  <c r="F64"/>
  <c r="F50"/>
  <c r="F44"/>
  <c r="F41"/>
  <c r="F37"/>
  <c r="F36"/>
  <c r="F35"/>
  <c r="F34"/>
  <c r="F33"/>
  <c r="F30"/>
  <c r="F21"/>
  <c r="F20"/>
  <c r="U18"/>
  <c r="U20"/>
  <c r="U21"/>
  <c r="U23"/>
  <c r="U25"/>
  <c r="U27"/>
  <c r="U28"/>
  <c r="U29"/>
  <c r="U30"/>
  <c r="U31"/>
  <c r="U32"/>
  <c r="U33"/>
  <c r="U34"/>
  <c r="U35"/>
  <c r="U36"/>
  <c r="U37"/>
  <c r="Y37" s="1"/>
  <c r="U39"/>
  <c r="U40"/>
  <c r="U41"/>
  <c r="U42"/>
  <c r="U43"/>
  <c r="U44"/>
  <c r="U45"/>
  <c r="U46"/>
  <c r="U48"/>
  <c r="U50"/>
  <c r="U52"/>
  <c r="U53"/>
  <c r="U55"/>
  <c r="U57"/>
  <c r="U58"/>
  <c r="U60"/>
  <c r="U62"/>
  <c r="U64"/>
  <c r="U65"/>
  <c r="U66"/>
  <c r="U67"/>
  <c r="U69"/>
  <c r="U71"/>
  <c r="U73"/>
  <c r="U16"/>
  <c r="T18"/>
  <c r="X18" s="1"/>
  <c r="Z18" s="1"/>
  <c r="T20"/>
  <c r="X20" s="1"/>
  <c r="Z20" s="1"/>
  <c r="T21"/>
  <c r="X21" s="1"/>
  <c r="Z21" s="1"/>
  <c r="T23"/>
  <c r="X23" s="1"/>
  <c r="Z23" s="1"/>
  <c r="T25"/>
  <c r="X25" s="1"/>
  <c r="Z25" s="1"/>
  <c r="T27"/>
  <c r="X27" s="1"/>
  <c r="Z27" s="1"/>
  <c r="T28"/>
  <c r="X28" s="1"/>
  <c r="Z28" s="1"/>
  <c r="T29"/>
  <c r="X29" s="1"/>
  <c r="Z29" s="1"/>
  <c r="T30"/>
  <c r="X30" s="1"/>
  <c r="Z30" s="1"/>
  <c r="T31"/>
  <c r="X31" s="1"/>
  <c r="Z31" s="1"/>
  <c r="T32"/>
  <c r="X32" s="1"/>
  <c r="Z32" s="1"/>
  <c r="T33"/>
  <c r="X33" s="1"/>
  <c r="Z33" s="1"/>
  <c r="T34"/>
  <c r="X34" s="1"/>
  <c r="Z34" s="1"/>
  <c r="T35"/>
  <c r="X35" s="1"/>
  <c r="Z35" s="1"/>
  <c r="T36"/>
  <c r="X36" s="1"/>
  <c r="Z36" s="1"/>
  <c r="T37"/>
  <c r="X37" s="1"/>
  <c r="Z37" s="1"/>
  <c r="T39"/>
  <c r="X39" s="1"/>
  <c r="Z39" s="1"/>
  <c r="T40"/>
  <c r="X40" s="1"/>
  <c r="Z40" s="1"/>
  <c r="T41"/>
  <c r="X41" s="1"/>
  <c r="Z41" s="1"/>
  <c r="T42"/>
  <c r="X42" s="1"/>
  <c r="Z42" s="1"/>
  <c r="T43"/>
  <c r="X43" s="1"/>
  <c r="Z43" s="1"/>
  <c r="T44"/>
  <c r="X44" s="1"/>
  <c r="Z44" s="1"/>
  <c r="T45"/>
  <c r="X45" s="1"/>
  <c r="Z45" s="1"/>
  <c r="T46"/>
  <c r="X46" s="1"/>
  <c r="Z46" s="1"/>
  <c r="T48"/>
  <c r="X48" s="1"/>
  <c r="Z48" s="1"/>
  <c r="T50"/>
  <c r="X50" s="1"/>
  <c r="Z50" s="1"/>
  <c r="T52"/>
  <c r="X52" s="1"/>
  <c r="Z52" s="1"/>
  <c r="T53"/>
  <c r="X53" s="1"/>
  <c r="Z53" s="1"/>
  <c r="T55"/>
  <c r="X55" s="1"/>
  <c r="Z55" s="1"/>
  <c r="T57"/>
  <c r="X57" s="1"/>
  <c r="Z57" s="1"/>
  <c r="T58"/>
  <c r="X58" s="1"/>
  <c r="Z58" s="1"/>
  <c r="T60"/>
  <c r="X60" s="1"/>
  <c r="Z60" s="1"/>
  <c r="T62"/>
  <c r="X62" s="1"/>
  <c r="Z62" s="1"/>
  <c r="T64"/>
  <c r="X64" s="1"/>
  <c r="Z64" s="1"/>
  <c r="T65"/>
  <c r="X65" s="1"/>
  <c r="Z65" s="1"/>
  <c r="T66"/>
  <c r="X66" s="1"/>
  <c r="Z66" s="1"/>
  <c r="T67"/>
  <c r="X67" s="1"/>
  <c r="Z67" s="1"/>
  <c r="T69"/>
  <c r="X69" s="1"/>
  <c r="Z69" s="1"/>
  <c r="T71"/>
  <c r="X71" s="1"/>
  <c r="Z71" s="1"/>
  <c r="T73"/>
  <c r="X73" s="1"/>
  <c r="Z73" s="1"/>
  <c r="T16"/>
  <c r="X16" s="1"/>
  <c r="Z16" s="1"/>
  <c r="AA37" l="1"/>
  <c r="F76"/>
  <c r="U76"/>
  <c r="V73"/>
  <c r="W73"/>
  <c r="Y73"/>
  <c r="AA73" s="1"/>
  <c r="W71"/>
  <c r="Y71"/>
  <c r="AA71" s="1"/>
  <c r="W69"/>
  <c r="Y69"/>
  <c r="AA69" s="1"/>
  <c r="W67"/>
  <c r="Y67"/>
  <c r="AA67" s="1"/>
  <c r="W66"/>
  <c r="Y66"/>
  <c r="AA66" s="1"/>
  <c r="W65"/>
  <c r="Y65"/>
  <c r="AA65" s="1"/>
  <c r="W64"/>
  <c r="Y64"/>
  <c r="AA64" s="1"/>
  <c r="W62"/>
  <c r="Y62"/>
  <c r="AA62" s="1"/>
  <c r="W60"/>
  <c r="Y60"/>
  <c r="AA60" s="1"/>
  <c r="W58"/>
  <c r="Y58"/>
  <c r="AA58" s="1"/>
  <c r="W57"/>
  <c r="Y57"/>
  <c r="AA57" s="1"/>
  <c r="W55"/>
  <c r="Y55"/>
  <c r="AA55" s="1"/>
  <c r="W53"/>
  <c r="Y53"/>
  <c r="AA53" s="1"/>
  <c r="W52"/>
  <c r="Y52"/>
  <c r="AA52" s="1"/>
  <c r="W50"/>
  <c r="Y50"/>
  <c r="AA50" s="1"/>
  <c r="W48"/>
  <c r="Y48"/>
  <c r="AA48" s="1"/>
  <c r="W46"/>
  <c r="Y46"/>
  <c r="AA46" s="1"/>
  <c r="W45"/>
  <c r="Y45"/>
  <c r="AA45" s="1"/>
  <c r="W44"/>
  <c r="Y44"/>
  <c r="AA44" s="1"/>
  <c r="W43"/>
  <c r="Y43"/>
  <c r="AA43" s="1"/>
  <c r="W42"/>
  <c r="Y42"/>
  <c r="AA42" s="1"/>
  <c r="W41"/>
  <c r="Y41"/>
  <c r="AA41" s="1"/>
  <c r="W40"/>
  <c r="Y40"/>
  <c r="AA40" s="1"/>
  <c r="W39"/>
  <c r="Y39"/>
  <c r="AA39" s="1"/>
  <c r="W36"/>
  <c r="Y36"/>
  <c r="AA36" s="1"/>
  <c r="Y35"/>
  <c r="AA35" s="1"/>
  <c r="W35"/>
  <c r="W34"/>
  <c r="Y34"/>
  <c r="AA34" s="1"/>
  <c r="W33"/>
  <c r="Y33"/>
  <c r="AA33" s="1"/>
  <c r="W32"/>
  <c r="Y32"/>
  <c r="AA32" s="1"/>
  <c r="W31"/>
  <c r="Y31"/>
  <c r="AA31" s="1"/>
  <c r="W30"/>
  <c r="Y30"/>
  <c r="AA30" s="1"/>
  <c r="W29"/>
  <c r="Y29"/>
  <c r="AA29" s="1"/>
  <c r="W28"/>
  <c r="Y28"/>
  <c r="AA28" s="1"/>
  <c r="W27"/>
  <c r="Y27"/>
  <c r="AA27" s="1"/>
  <c r="W25"/>
  <c r="Y25"/>
  <c r="AA25" s="1"/>
  <c r="W23"/>
  <c r="Y23"/>
  <c r="AA23" s="1"/>
  <c r="W21"/>
  <c r="Y21"/>
  <c r="AA21" s="1"/>
  <c r="W20"/>
  <c r="Y20"/>
  <c r="AA20" s="1"/>
  <c r="W18"/>
  <c r="Y18"/>
  <c r="W16"/>
  <c r="Y16"/>
  <c r="V71"/>
  <c r="V69"/>
  <c r="V67"/>
  <c r="V66"/>
  <c r="V65"/>
  <c r="V64"/>
  <c r="V62"/>
  <c r="V60"/>
  <c r="V58"/>
  <c r="V57"/>
  <c r="V55"/>
  <c r="V53"/>
  <c r="V52"/>
  <c r="V50"/>
  <c r="V48"/>
  <c r="V46"/>
  <c r="V45"/>
  <c r="V44"/>
  <c r="V43"/>
  <c r="V42"/>
  <c r="V41"/>
  <c r="V40"/>
  <c r="V39"/>
  <c r="V37"/>
  <c r="V36"/>
  <c r="V32"/>
  <c r="V27"/>
  <c r="V16"/>
  <c r="V35"/>
  <c r="V34"/>
  <c r="V33"/>
  <c r="V31"/>
  <c r="V30"/>
  <c r="V29"/>
  <c r="V28"/>
  <c r="V25"/>
  <c r="V23"/>
  <c r="V21"/>
  <c r="V20"/>
  <c r="V18"/>
  <c r="J77"/>
  <c r="W76" l="1"/>
  <c r="AA18"/>
  <c r="AA76" s="1"/>
  <c r="Y76"/>
  <c r="AA16"/>
  <c r="H77"/>
  <c r="F77"/>
</calcChain>
</file>

<file path=xl/sharedStrings.xml><?xml version="1.0" encoding="utf-8"?>
<sst xmlns="http://schemas.openxmlformats.org/spreadsheetml/2006/main" count="259" uniqueCount="147">
  <si>
    <t>No</t>
  </si>
  <si>
    <t>Indikator Kinerja Program (Outcome)/Kegiatan (output)</t>
  </si>
  <si>
    <t>Realisasi Kinerja Pada Triwulan:</t>
  </si>
  <si>
    <t>Keterangan</t>
  </si>
  <si>
    <t>I</t>
  </si>
  <si>
    <t>II</t>
  </si>
  <si>
    <t>III</t>
  </si>
  <si>
    <t>IV</t>
  </si>
  <si>
    <t>K</t>
  </si>
  <si>
    <t>12 = 8+9+10+11</t>
  </si>
  <si>
    <t>13 = 12/7*100</t>
  </si>
  <si>
    <t>14 = 6 + 12</t>
  </si>
  <si>
    <t>15 = 14/5*100</t>
  </si>
  <si>
    <t>TRETEP</t>
  </si>
  <si>
    <t>BELANJA TIDAK LANGSUNG :</t>
  </si>
  <si>
    <t>Jumlah A (Belanja Tidak Langsung)</t>
  </si>
  <si>
    <t>BELANJA LANGSUNG :</t>
  </si>
  <si>
    <t>Program Pelayanan Administrasi Perkantoran</t>
  </si>
  <si>
    <t>Penyediaan jasa kebersihan kantor</t>
  </si>
  <si>
    <t>Penyediaan barang cetakan dan penggandaan</t>
  </si>
  <si>
    <t>Penyediaan makanan dan minuman</t>
  </si>
  <si>
    <t>Pengadaan peralatan gedung kantor</t>
  </si>
  <si>
    <t>Program pemeliharaan Kantrantibmas dan pencegahan tindak kriminal</t>
  </si>
  <si>
    <t>Peningkatan kapasitas aparat dalam rangka pelaksanaan siskamswakarsa di daerah</t>
  </si>
  <si>
    <t>Pembinaan Hansip/Linmas Desa</t>
  </si>
  <si>
    <t>Program Pembinaan dan Fasilitasi Pengelolaan Keuangan Desa</t>
  </si>
  <si>
    <t>Fasilitasi Kegiatan Alokasi Dana Desa (ADD)</t>
  </si>
  <si>
    <t>Program Peningkatan Kapasitas Aparatur Pemerintahan Desa</t>
  </si>
  <si>
    <t xml:space="preserve">Program Pengembangan Data/Informasi/Statistik </t>
  </si>
  <si>
    <t>Program Usaha Kesehatan Sekolah</t>
  </si>
  <si>
    <t>Program Peningkatan Kerukunan Antar Umat Beragama</t>
  </si>
  <si>
    <t>Program Peningkatan Keberdayaan Masyarakat Pedesaan</t>
  </si>
  <si>
    <t>Pemberdayaan Lembaga dan Organisasi Masyarakat Pedesaan</t>
  </si>
  <si>
    <t>Program Penataan Administrasi Kependudukan</t>
  </si>
  <si>
    <t>Program Nasional Pemberdayaan Masyarakat Mandiri Perdesaan</t>
  </si>
  <si>
    <t>Jumlah B (Belanja Langsung)</t>
  </si>
  <si>
    <t>Jumlah Total</t>
  </si>
  <si>
    <t>Program/Kegiatan</t>
  </si>
  <si>
    <t>Realisasi Capaian Kinerja Renstra SKPD sampai dengan Renja SKPD Tahun lalu (n-2)</t>
  </si>
  <si>
    <t>Unit SKPD Penanggung Jawab</t>
  </si>
  <si>
    <t>Misi Kelima, dengan Peningkatan Kesejahteraan Masyarakat di 11 Desa, melalui Terlaksananya Kegiatan PWK Praswil</t>
  </si>
  <si>
    <t>Kec. Tretep</t>
  </si>
  <si>
    <t>desa</t>
  </si>
  <si>
    <t>Target Renstra SKPD pada Tahun 2013 s/d 2018 (periode Renstra SKPD)</t>
  </si>
  <si>
    <t>Satuan</t>
  </si>
  <si>
    <t>4.A</t>
  </si>
  <si>
    <t>Target Kinerja dan Anggaran RENJA SKPD Tahun Berjalan (Tahun 2014) yang dievaluasi</t>
  </si>
  <si>
    <t>Rp (Ribu) RENJA</t>
  </si>
  <si>
    <t>Rp (Ribu) DPA</t>
  </si>
  <si>
    <t>Rp (Ribu)</t>
  </si>
  <si>
    <t>Realisasi Capaian Kinerja dan Anggaran Renja SKPD 2014 yang dievaluasi</t>
  </si>
  <si>
    <t>Tingkat Capaian Kinerja dan Realisasi Anggaran Renja 2014 yang dievaluasi (%)</t>
  </si>
  <si>
    <t>Realisasi Kinerja dan Anggaran Renstra SKPD s/d Akhir Tahun 2014 (Akhir Tahun Pelaksanaan Renja SKPD)</t>
  </si>
  <si>
    <t>Tingkat Capaian Kinerja dan Realisasi Anggaran Renstra SKPD s/d Tahun 2014</t>
  </si>
  <si>
    <t>Belanja Hibah PWK Bidang Prasarana Wilayah</t>
  </si>
  <si>
    <t>Belanja Hibah PWK Bidang Ekonomi</t>
  </si>
  <si>
    <t>Fasilitasi E-KTP</t>
  </si>
  <si>
    <t>Pembinaan UKS/LSS</t>
  </si>
  <si>
    <t>Terpenuhinya peningkatan derajat kesehatan anak sekolah SD/ MI</t>
  </si>
  <si>
    <t>Terpenuhinya target pembuatan E-KTP</t>
  </si>
  <si>
    <t>Berkurangnya gangguan Kamtibmas</t>
  </si>
  <si>
    <t>Program pencegahan dini dan penanggulangan korban bencana alam</t>
  </si>
  <si>
    <t>Sosialisasi pencegahan bencana alam</t>
  </si>
  <si>
    <t>Berkurangnya korban bencana alam</t>
  </si>
  <si>
    <t>Pembinaan Kerukunan Antar Umat Beragama dan SKB 3 Menteri</t>
  </si>
  <si>
    <t>Berkurangnya konflik bernuansa SARA</t>
  </si>
  <si>
    <t>Penyediaan jasa surat menyurat</t>
  </si>
  <si>
    <t>Lancarnya kegiatan kantor</t>
  </si>
  <si>
    <t>Penyediaan jasa komunikasi, sumber daya air dan listrik</t>
  </si>
  <si>
    <t>Terlaksananya pelayanan dan perkantoran dengan baik</t>
  </si>
  <si>
    <t>Penyediaan alat tulis kantor</t>
  </si>
  <si>
    <t>Terlaksananya administrasi perkantoran dengan baik</t>
  </si>
  <si>
    <t>Lancarnya penyelenggaraan administrasi kantor</t>
  </si>
  <si>
    <t>Penyediaan komponen instalasi listrik/penerangan bangunan kantor</t>
  </si>
  <si>
    <t>Terlaksananya pelayanan administrasi perkantoran dengan baik</t>
  </si>
  <si>
    <t>Penyediaan bahan bacaan dan peraturan perundang-undangan</t>
  </si>
  <si>
    <t>Tersedianya makanan dan minuman rapat</t>
  </si>
  <si>
    <t>Rapat-rapat koordinasi dan konsultasi dalam daerah</t>
  </si>
  <si>
    <t>Perjalanan dinas tetap karyawan kec. Berjalan lancar</t>
  </si>
  <si>
    <t>Jasa Pelayanan perkantoran</t>
  </si>
  <si>
    <t>Meningkatnya kenyamanan dalam pelayanan perkantoran</t>
  </si>
  <si>
    <t>Penyediaan makanan dan minuman untuk kegiatan 17 Agustus</t>
  </si>
  <si>
    <t>Tersedianya makanan dan minuman untuk persiapan dan pelaksanaan Peringatan Hari Besar Nasional</t>
  </si>
  <si>
    <t>Program peningkatan sarana dan prasarana aparatur</t>
  </si>
  <si>
    <t>Meningkatnya kualitas pelayanan kepada masyarakat</t>
  </si>
  <si>
    <t>Pemeliharaan rutin/berkala rumah dinas</t>
  </si>
  <si>
    <t>Pemeliharaan rutin/berkala gedung kantor</t>
  </si>
  <si>
    <t>Tergantinya keramik dan Plafon gedung kantor</t>
  </si>
  <si>
    <t>Pemeliharaan rutin/berkala kendaraan dinas/operasional</t>
  </si>
  <si>
    <t>Meningkatnya kinerja aparatur kecamatan</t>
  </si>
  <si>
    <t>Pemeliharaan rutin/berkala perlengkapan gedung kantor</t>
  </si>
  <si>
    <t>Pemeliharaan rutin/berkala peralatan gedung kantor</t>
  </si>
  <si>
    <t>Pengadaan kendaraan dinas/ operasional</t>
  </si>
  <si>
    <t>Pengadaan perlengkapan rumah jabatan/dinas</t>
  </si>
  <si>
    <t>Program peningkatan disiplin aparatur</t>
  </si>
  <si>
    <t>Pengadaan pakaian khusus hari-hari tertentu</t>
  </si>
  <si>
    <t>Meningkatnya disiplin aparatur kecamatan</t>
  </si>
  <si>
    <t>Intensifikasi dan Ekstensifikasi sumber-sumber pendapatan daerah</t>
  </si>
  <si>
    <t>Terbayarnya pajak dengan tepat waktu</t>
  </si>
  <si>
    <t>Program Peningkatan dan Pengembangan Pengelolaan Keuangan Daerah</t>
  </si>
  <si>
    <t>Fasilitasi dan Evaluasi Perdes tentang APBDES</t>
  </si>
  <si>
    <t>Tertib administrasi penyelenggaraan pemerintah desa</t>
  </si>
  <si>
    <t>ADD di 11 desa berjalan sesuai petunjuk</t>
  </si>
  <si>
    <t>Fasilitasi dan verifikasi Pelayanan Administrasi Terpadu Kecamatan (PATEN)</t>
  </si>
  <si>
    <t>Program peningkatan sistem pengawasan internal dan pengendalian pelaksanaan kebijakan KDH</t>
  </si>
  <si>
    <t>Fasilitasi Kegiatan Pengisian Kades  dan Perdes</t>
  </si>
  <si>
    <t>Meningkatnya kualitas penyelenggaraan pemerintah desa</t>
  </si>
  <si>
    <t>Rapat Koordinasi Kades dan Perangkat Desa</t>
  </si>
  <si>
    <t>Program Peningkatan Ketahanan Pangan Pertanian/ Perkebunan</t>
  </si>
  <si>
    <t>Monitoring RASKIN</t>
  </si>
  <si>
    <t>Pendampingan Program RASKIN</t>
  </si>
  <si>
    <t>Administrasi lembaga desa tertib</t>
  </si>
  <si>
    <t>Program peningkatan partisipasi masyarakat dalam membangun desa/Kelurahan</t>
  </si>
  <si>
    <t>Tersusunnya dokumen perencanaan pembangunan desa</t>
  </si>
  <si>
    <t>Fasilitasi Kegiatan Pendampingan Desa Binaan</t>
  </si>
  <si>
    <t>Meningkatnya ketertiban administrasi Desa Binaan</t>
  </si>
  <si>
    <t>Fasilitasi PWK</t>
  </si>
  <si>
    <t>PWK di Kec. Tretep berjalan dengan tertib dan lancar</t>
  </si>
  <si>
    <t>Fasilitasi penyusunan RPJM-Desa</t>
  </si>
  <si>
    <t>Tersusunnya RPJM-Desa</t>
  </si>
  <si>
    <t>Pelaksanaan musyawarah perencanaan pembangunan di tingkat desa/kelurahan dan tingkat kecamatan</t>
  </si>
  <si>
    <t>Program peningkatan kapasitas aparatur pemerintah desa</t>
  </si>
  <si>
    <t>Pelatihan aparatur pemerintah desa dalam bidang manajemen pemerintahan desa</t>
  </si>
  <si>
    <t>Meningkatnya kualitas managemen pemerintahan desa</t>
  </si>
  <si>
    <t>Pendampingan Program Nasional Pemberdayaan Masyarakat Mandiri Pedesaan (PNPM-MD)</t>
  </si>
  <si>
    <t>PNPM-MD dapat berjalan dengan lancar</t>
  </si>
  <si>
    <t>Fasilitasi Penyusunan dan pemberdayaan profil desa dan kelurahan</t>
  </si>
  <si>
    <t>Meningkatnya kualitas penyelenggaraan pemerintahan desa</t>
  </si>
  <si>
    <t>bulan</t>
  </si>
  <si>
    <t>unit</t>
  </si>
  <si>
    <t>potong</t>
  </si>
  <si>
    <t>Misi Kelima, dengan Peningkatan Kesejahteraan Masyarakat di 11 Desa, melalui Terlaksananya Kegiatan PWK Ekonomi</t>
  </si>
  <si>
    <t>BLANGKO PERMASALAHAN YANG DIHADAPI</t>
  </si>
  <si>
    <t>NO</t>
  </si>
  <si>
    <t>PROGRAM/ KEGIATAN</t>
  </si>
  <si>
    <t>KENDALA YANG DIHADAPI</t>
  </si>
  <si>
    <t>KETERANGAN</t>
  </si>
  <si>
    <t>Mengetahui</t>
  </si>
  <si>
    <t>Program keserasian kebijakan peningkatan kualitas Anak dan Perempuan</t>
  </si>
  <si>
    <t>Fasilitasi Pemberdayaan dan Kesejahteraan Keluarga (PKK)</t>
  </si>
  <si>
    <t>Meningkatnya kualitas SDM pengurus PKK Desa</t>
  </si>
  <si>
    <t>Formulir Evaluasi RKPD Triwulan III Tahun 2014</t>
  </si>
  <si>
    <t>SKPD Kantor Kecamatan Tembarak Kabupaten Temanggung</t>
  </si>
  <si>
    <t>CAMAT TEMBARAK</t>
  </si>
  <si>
    <t>Drs. AGUS WINARTO</t>
  </si>
  <si>
    <t>Pembina</t>
  </si>
  <si>
    <t>NIP. ………………..</t>
  </si>
</sst>
</file>

<file path=xl/styles.xml><?xml version="1.0" encoding="utf-8"?>
<styleSheet xmlns="http://schemas.openxmlformats.org/spreadsheetml/2006/main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?_);_(@_)"/>
    <numFmt numFmtId="166" formatCode="_(* #,##0.0_);_(* \(#,##0.0\);_(* &quot;-&quot;?_);_(@_)"/>
    <numFmt numFmtId="167" formatCode="#,##0.0000_);\(#,##0.0000\)"/>
  </numFmts>
  <fonts count="16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8"/>
      <name val="Arial Narrow"/>
      <family val="2"/>
    </font>
    <font>
      <b/>
      <sz val="8"/>
      <name val="Arial Narrow"/>
      <family val="2"/>
    </font>
    <font>
      <sz val="1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7"/>
      <name val="Arial Narrow"/>
      <family val="2"/>
    </font>
    <font>
      <sz val="7"/>
      <name val="Arial Narrow"/>
      <family val="2"/>
    </font>
    <font>
      <sz val="6.35"/>
      <color indexed="8"/>
      <name val="Times New Roman"/>
      <family val="1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b/>
      <sz val="8"/>
      <color indexed="8"/>
      <name val="Arial Narrow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</cellStyleXfs>
  <cellXfs count="173">
    <xf numFmtId="0" fontId="0" fillId="0" borderId="0" xfId="0"/>
    <xf numFmtId="0" fontId="3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0" xfId="0" applyFont="1" applyFill="1" applyBorder="1" applyAlignment="1">
      <alignment vertical="top"/>
    </xf>
    <xf numFmtId="0" fontId="0" fillId="0" borderId="0" xfId="0" applyFill="1"/>
    <xf numFmtId="0" fontId="3" fillId="0" borderId="12" xfId="0" applyFont="1" applyFill="1" applyBorder="1" applyAlignment="1">
      <alignment horizontal="center" vertical="center"/>
    </xf>
    <xf numFmtId="164" fontId="3" fillId="0" borderId="12" xfId="1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/>
    <xf numFmtId="0" fontId="3" fillId="0" borderId="17" xfId="0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vertical="center"/>
    </xf>
    <xf numFmtId="0" fontId="4" fillId="0" borderId="4" xfId="0" applyFont="1" applyFill="1" applyBorder="1" applyAlignment="1"/>
    <xf numFmtId="0" fontId="3" fillId="0" borderId="4" xfId="0" applyFont="1" applyFill="1" applyBorder="1" applyAlignment="1">
      <alignment horizontal="left"/>
    </xf>
    <xf numFmtId="3" fontId="3" fillId="0" borderId="4" xfId="0" applyNumberFormat="1" applyFont="1" applyFill="1" applyBorder="1"/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4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top"/>
    </xf>
    <xf numFmtId="41" fontId="3" fillId="0" borderId="4" xfId="0" applyNumberFormat="1" applyFont="1" applyFill="1" applyBorder="1" applyAlignment="1">
      <alignment horizontal="center" vertical="top"/>
    </xf>
    <xf numFmtId="41" fontId="3" fillId="0" borderId="17" xfId="0" applyNumberFormat="1" applyFont="1" applyFill="1" applyBorder="1"/>
    <xf numFmtId="9" fontId="3" fillId="0" borderId="17" xfId="0" applyNumberFormat="1" applyFont="1" applyFill="1" applyBorder="1"/>
    <xf numFmtId="41" fontId="3" fillId="0" borderId="18" xfId="0" applyNumberFormat="1" applyFont="1" applyFill="1" applyBorder="1"/>
    <xf numFmtId="41" fontId="3" fillId="0" borderId="4" xfId="0" applyNumberFormat="1" applyFont="1" applyFill="1" applyBorder="1"/>
    <xf numFmtId="9" fontId="3" fillId="0" borderId="4" xfId="0" applyNumberFormat="1" applyFont="1" applyFill="1" applyBorder="1"/>
    <xf numFmtId="41" fontId="3" fillId="0" borderId="20" xfId="0" applyNumberFormat="1" applyFont="1" applyFill="1" applyBorder="1"/>
    <xf numFmtId="41" fontId="3" fillId="0" borderId="4" xfId="0" applyNumberFormat="1" applyFont="1" applyFill="1" applyBorder="1" applyAlignment="1">
      <alignment vertical="top"/>
    </xf>
    <xf numFmtId="41" fontId="3" fillId="0" borderId="20" xfId="0" applyNumberFormat="1" applyFont="1" applyFill="1" applyBorder="1" applyAlignment="1">
      <alignment horizontal="center" vertical="top"/>
    </xf>
    <xf numFmtId="41" fontId="3" fillId="0" borderId="21" xfId="0" applyNumberFormat="1" applyFont="1" applyFill="1" applyBorder="1" applyAlignment="1">
      <alignment horizontal="center" vertical="top"/>
    </xf>
    <xf numFmtId="41" fontId="3" fillId="0" borderId="22" xfId="0" applyNumberFormat="1" applyFont="1" applyFill="1" applyBorder="1" applyAlignment="1">
      <alignment horizontal="center" vertical="top"/>
    </xf>
    <xf numFmtId="0" fontId="3" fillId="0" borderId="16" xfId="0" applyFont="1" applyFill="1" applyBorder="1"/>
    <xf numFmtId="0" fontId="3" fillId="0" borderId="19" xfId="0" applyFont="1" applyFill="1" applyBorder="1"/>
    <xf numFmtId="41" fontId="8" fillId="0" borderId="4" xfId="0" applyNumberFormat="1" applyFont="1" applyFill="1" applyBorder="1" applyAlignment="1">
      <alignment vertical="top"/>
    </xf>
    <xf numFmtId="0" fontId="3" fillId="0" borderId="17" xfId="0" applyNumberFormat="1" applyFont="1" applyFill="1" applyBorder="1" applyAlignment="1">
      <alignment vertical="center"/>
    </xf>
    <xf numFmtId="0" fontId="3" fillId="0" borderId="4" xfId="0" applyNumberFormat="1" applyFont="1" applyFill="1" applyBorder="1" applyAlignment="1">
      <alignment horizontal="left"/>
    </xf>
    <xf numFmtId="0" fontId="3" fillId="0" borderId="4" xfId="0" applyNumberFormat="1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21" xfId="0" applyNumberFormat="1" applyFont="1" applyFill="1" applyBorder="1" applyAlignment="1">
      <alignment horizontal="center" vertical="top" wrapText="1"/>
    </xf>
    <xf numFmtId="1" fontId="3" fillId="0" borderId="4" xfId="0" applyNumberFormat="1" applyFont="1" applyFill="1" applyBorder="1" applyAlignment="1">
      <alignment horizontal="center" vertical="top" wrapText="1"/>
    </xf>
    <xf numFmtId="1" fontId="3" fillId="0" borderId="4" xfId="0" applyNumberFormat="1" applyFont="1" applyFill="1" applyBorder="1" applyAlignment="1">
      <alignment horizontal="center" vertical="top"/>
    </xf>
    <xf numFmtId="1" fontId="3" fillId="0" borderId="4" xfId="0" quotePrefix="1" applyNumberFormat="1" applyFont="1" applyFill="1" applyBorder="1" applyAlignment="1">
      <alignment horizontal="center" vertical="top"/>
    </xf>
    <xf numFmtId="1" fontId="3" fillId="0" borderId="21" xfId="0" applyNumberFormat="1" applyFont="1" applyFill="1" applyBorder="1" applyAlignment="1">
      <alignment horizontal="center" vertical="top"/>
    </xf>
    <xf numFmtId="0" fontId="3" fillId="0" borderId="23" xfId="0" applyFont="1" applyFill="1" applyBorder="1" applyAlignment="1">
      <alignment horizontal="center" vertical="center"/>
    </xf>
    <xf numFmtId="164" fontId="3" fillId="0" borderId="12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10" fillId="0" borderId="33" xfId="4" applyNumberFormat="1" applyFont="1" applyBorder="1" applyAlignment="1" applyProtection="1">
      <alignment vertical="top" wrapText="1"/>
      <protection locked="0"/>
    </xf>
    <xf numFmtId="0" fontId="11" fillId="0" borderId="4" xfId="0" applyFont="1" applyBorder="1" applyAlignment="1" applyProtection="1">
      <alignment vertical="top" wrapText="1"/>
      <protection locked="0"/>
    </xf>
    <xf numFmtId="0" fontId="4" fillId="0" borderId="33" xfId="4" applyNumberFormat="1" applyFont="1" applyBorder="1" applyAlignment="1" applyProtection="1">
      <alignment vertical="top" wrapText="1"/>
      <protection locked="0"/>
    </xf>
    <xf numFmtId="41" fontId="4" fillId="0" borderId="4" xfId="0" applyNumberFormat="1" applyFont="1" applyFill="1" applyBorder="1" applyAlignment="1">
      <alignment vertical="center"/>
    </xf>
    <xf numFmtId="41" fontId="3" fillId="0" borderId="4" xfId="0" applyNumberFormat="1" applyFont="1" applyFill="1" applyBorder="1" applyAlignment="1">
      <alignment horizontal="center" vertical="top" wrapText="1"/>
    </xf>
    <xf numFmtId="0" fontId="10" fillId="0" borderId="34" xfId="4" applyNumberFormat="1" applyFont="1" applyBorder="1" applyAlignment="1" applyProtection="1">
      <alignment vertical="top" wrapText="1"/>
      <protection locked="0"/>
    </xf>
    <xf numFmtId="0" fontId="10" fillId="0" borderId="35" xfId="3" applyFont="1" applyBorder="1" applyAlignment="1" applyProtection="1">
      <alignment vertical="top" wrapText="1"/>
      <protection locked="0"/>
    </xf>
    <xf numFmtId="0" fontId="4" fillId="0" borderId="34" xfId="4" applyNumberFormat="1" applyFont="1" applyBorder="1" applyAlignment="1" applyProtection="1">
      <alignment vertical="top" wrapText="1"/>
      <protection locked="0"/>
    </xf>
    <xf numFmtId="0" fontId="12" fillId="0" borderId="34" xfId="4" applyNumberFormat="1" applyFont="1" applyBorder="1" applyAlignment="1" applyProtection="1">
      <alignment vertical="top" wrapText="1"/>
      <protection locked="0"/>
    </xf>
    <xf numFmtId="0" fontId="11" fillId="0" borderId="21" xfId="0" applyFont="1" applyBorder="1" applyAlignment="1" applyProtection="1">
      <alignment vertical="top" wrapText="1"/>
      <protection locked="0"/>
    </xf>
    <xf numFmtId="0" fontId="0" fillId="0" borderId="0" xfId="0" applyAlignment="1">
      <alignment horizontal="center" vertical="top"/>
    </xf>
    <xf numFmtId="0" fontId="3" fillId="0" borderId="17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165" fontId="3" fillId="0" borderId="4" xfId="0" applyNumberFormat="1" applyFont="1" applyFill="1" applyBorder="1" applyAlignment="1">
      <alignment horizontal="center" vertical="top"/>
    </xf>
    <xf numFmtId="166" fontId="3" fillId="0" borderId="4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top"/>
    </xf>
    <xf numFmtId="41" fontId="3" fillId="0" borderId="17" xfId="0" applyNumberFormat="1" applyFont="1" applyFill="1" applyBorder="1" applyAlignment="1">
      <alignment horizontal="center" vertical="top"/>
    </xf>
    <xf numFmtId="41" fontId="3" fillId="0" borderId="17" xfId="0" applyNumberFormat="1" applyFont="1" applyFill="1" applyBorder="1" applyAlignment="1">
      <alignment vertical="center"/>
    </xf>
    <xf numFmtId="1" fontId="3" fillId="0" borderId="4" xfId="0" quotePrefix="1" applyNumberFormat="1" applyFont="1" applyFill="1" applyBorder="1" applyAlignment="1">
      <alignment horizontal="center" vertical="top" wrapText="1"/>
    </xf>
    <xf numFmtId="0" fontId="3" fillId="0" borderId="4" xfId="0" quotePrefix="1" applyFont="1" applyFill="1" applyBorder="1" applyAlignment="1">
      <alignment horizontal="center" vertical="top"/>
    </xf>
    <xf numFmtId="41" fontId="3" fillId="0" borderId="4" xfId="0" quotePrefix="1" applyNumberFormat="1" applyFont="1" applyFill="1" applyBorder="1" applyAlignment="1">
      <alignment horizontal="center" vertical="top"/>
    </xf>
    <xf numFmtId="1" fontId="3" fillId="0" borderId="21" xfId="0" quotePrefix="1" applyNumberFormat="1" applyFont="1" applyFill="1" applyBorder="1" applyAlignment="1">
      <alignment horizontal="center" vertical="top" wrapText="1"/>
    </xf>
    <xf numFmtId="41" fontId="4" fillId="0" borderId="7" xfId="0" applyNumberFormat="1" applyFont="1" applyFill="1" applyBorder="1" applyAlignment="1">
      <alignment vertical="center"/>
    </xf>
    <xf numFmtId="41" fontId="3" fillId="0" borderId="7" xfId="0" applyNumberFormat="1" applyFont="1" applyFill="1" applyBorder="1"/>
    <xf numFmtId="41" fontId="3" fillId="0" borderId="8" xfId="0" applyNumberFormat="1" applyFont="1" applyFill="1" applyBorder="1"/>
    <xf numFmtId="41" fontId="4" fillId="0" borderId="7" xfId="0" applyNumberFormat="1" applyFont="1" applyFill="1" applyBorder="1" applyAlignment="1">
      <alignment horizontal="center" vertical="top"/>
    </xf>
    <xf numFmtId="41" fontId="7" fillId="0" borderId="12" xfId="0" applyNumberFormat="1" applyFont="1" applyFill="1" applyBorder="1" applyAlignment="1">
      <alignment vertical="top" shrinkToFit="1"/>
    </xf>
    <xf numFmtId="41" fontId="4" fillId="0" borderId="12" xfId="0" applyNumberFormat="1" applyFont="1" applyFill="1" applyBorder="1" applyAlignment="1">
      <alignment vertical="top" shrinkToFit="1"/>
    </xf>
    <xf numFmtId="41" fontId="4" fillId="0" borderId="12" xfId="0" applyNumberFormat="1" applyFont="1" applyFill="1" applyBorder="1" applyAlignment="1">
      <alignment horizontal="center" vertical="top" shrinkToFit="1"/>
    </xf>
    <xf numFmtId="41" fontId="4" fillId="0" borderId="12" xfId="0" applyNumberFormat="1" applyFont="1" applyFill="1" applyBorder="1" applyAlignment="1">
      <alignment shrinkToFit="1"/>
    </xf>
    <xf numFmtId="41" fontId="4" fillId="0" borderId="36" xfId="0" applyNumberFormat="1" applyFont="1" applyFill="1" applyBorder="1" applyAlignment="1">
      <alignment shrinkToFit="1"/>
    </xf>
    <xf numFmtId="2" fontId="3" fillId="0" borderId="4" xfId="0" applyNumberFormat="1" applyFont="1" applyFill="1" applyBorder="1" applyAlignment="1">
      <alignment horizontal="center" vertical="top"/>
    </xf>
    <xf numFmtId="0" fontId="3" fillId="0" borderId="37" xfId="0" applyFont="1" applyFill="1" applyBorder="1"/>
    <xf numFmtId="0" fontId="4" fillId="0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vertical="center"/>
    </xf>
    <xf numFmtId="0" fontId="3" fillId="0" borderId="38" xfId="0" applyFont="1" applyFill="1" applyBorder="1"/>
    <xf numFmtId="0" fontId="4" fillId="0" borderId="23" xfId="0" applyFont="1" applyFill="1" applyBorder="1" applyAlignment="1">
      <alignment vertical="top"/>
    </xf>
    <xf numFmtId="0" fontId="4" fillId="0" borderId="39" xfId="0" applyFont="1" applyFill="1" applyBorder="1" applyAlignment="1">
      <alignment vertical="top"/>
    </xf>
    <xf numFmtId="0" fontId="4" fillId="0" borderId="39" xfId="0" applyFont="1" applyFill="1" applyBorder="1" applyAlignment="1">
      <alignment horizontal="center" vertical="top"/>
    </xf>
    <xf numFmtId="43" fontId="3" fillId="0" borderId="4" xfId="0" applyNumberFormat="1" applyFont="1" applyFill="1" applyBorder="1" applyAlignment="1">
      <alignment horizontal="center" vertical="top"/>
    </xf>
    <xf numFmtId="43" fontId="3" fillId="0" borderId="4" xfId="0" applyNumberFormat="1" applyFont="1" applyFill="1" applyBorder="1" applyAlignment="1">
      <alignment vertical="top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0" borderId="40" xfId="0" applyFont="1" applyBorder="1"/>
    <xf numFmtId="0" fontId="13" fillId="0" borderId="41" xfId="0" applyFont="1" applyBorder="1"/>
    <xf numFmtId="0" fontId="13" fillId="0" borderId="42" xfId="0" applyFont="1" applyBorder="1"/>
    <xf numFmtId="0" fontId="13" fillId="0" borderId="43" xfId="0" applyFont="1" applyBorder="1"/>
    <xf numFmtId="0" fontId="13" fillId="0" borderId="4" xfId="0" applyFont="1" applyBorder="1"/>
    <xf numFmtId="0" fontId="13" fillId="0" borderId="44" xfId="0" applyFont="1" applyBorder="1"/>
    <xf numFmtId="0" fontId="13" fillId="0" borderId="45" xfId="0" applyFont="1" applyBorder="1"/>
    <xf numFmtId="0" fontId="13" fillId="0" borderId="46" xfId="0" applyFont="1" applyBorder="1"/>
    <xf numFmtId="0" fontId="13" fillId="0" borderId="47" xfId="0" applyFont="1" applyBorder="1"/>
    <xf numFmtId="0" fontId="13" fillId="0" borderId="48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51" xfId="0" applyFont="1" applyFill="1" applyBorder="1"/>
    <xf numFmtId="0" fontId="10" fillId="0" borderId="52" xfId="4" applyNumberFormat="1" applyFont="1" applyBorder="1" applyAlignment="1" applyProtection="1">
      <alignment vertical="top" wrapText="1"/>
      <protection locked="0"/>
    </xf>
    <xf numFmtId="0" fontId="11" fillId="0" borderId="53" xfId="0" applyFont="1" applyBorder="1" applyAlignment="1" applyProtection="1">
      <alignment vertical="top" wrapText="1"/>
      <protection locked="0"/>
    </xf>
    <xf numFmtId="0" fontId="3" fillId="0" borderId="53" xfId="0" applyFont="1" applyFill="1" applyBorder="1" applyAlignment="1">
      <alignment horizontal="center" vertical="top" wrapText="1"/>
    </xf>
    <xf numFmtId="0" fontId="3" fillId="0" borderId="53" xfId="0" applyNumberFormat="1" applyFont="1" applyFill="1" applyBorder="1" applyAlignment="1">
      <alignment horizontal="center" vertical="top" wrapText="1"/>
    </xf>
    <xf numFmtId="41" fontId="3" fillId="0" borderId="53" xfId="0" applyNumberFormat="1" applyFont="1" applyFill="1" applyBorder="1" applyAlignment="1">
      <alignment horizontal="center" vertical="top"/>
    </xf>
    <xf numFmtId="1" fontId="3" fillId="0" borderId="53" xfId="0" quotePrefix="1" applyNumberFormat="1" applyFont="1" applyFill="1" applyBorder="1" applyAlignment="1">
      <alignment horizontal="center" vertical="top" wrapText="1"/>
    </xf>
    <xf numFmtId="1" fontId="3" fillId="0" borderId="53" xfId="0" applyNumberFormat="1" applyFont="1" applyFill="1" applyBorder="1" applyAlignment="1">
      <alignment horizontal="center" vertical="top"/>
    </xf>
    <xf numFmtId="43" fontId="3" fillId="0" borderId="53" xfId="0" applyNumberFormat="1" applyFont="1" applyFill="1" applyBorder="1" applyAlignment="1">
      <alignment horizontal="center" vertical="top"/>
    </xf>
    <xf numFmtId="0" fontId="3" fillId="0" borderId="53" xfId="0" applyNumberFormat="1" applyFont="1" applyFill="1" applyBorder="1" applyAlignment="1">
      <alignment horizontal="center" vertical="top"/>
    </xf>
    <xf numFmtId="43" fontId="3" fillId="0" borderId="53" xfId="0" applyNumberFormat="1" applyFont="1" applyFill="1" applyBorder="1" applyAlignment="1">
      <alignment vertical="top"/>
    </xf>
    <xf numFmtId="41" fontId="3" fillId="0" borderId="53" xfId="0" applyNumberFormat="1" applyFont="1" applyFill="1" applyBorder="1" applyAlignment="1">
      <alignment vertical="top"/>
    </xf>
    <xf numFmtId="41" fontId="3" fillId="0" borderId="54" xfId="0" applyNumberFormat="1" applyFont="1" applyFill="1" applyBorder="1" applyAlignment="1">
      <alignment horizontal="center" vertical="top"/>
    </xf>
    <xf numFmtId="0" fontId="3" fillId="0" borderId="55" xfId="0" applyFont="1" applyFill="1" applyBorder="1"/>
    <xf numFmtId="0" fontId="3" fillId="0" borderId="56" xfId="0" applyFont="1" applyFill="1" applyBorder="1"/>
    <xf numFmtId="0" fontId="3" fillId="0" borderId="21" xfId="0" applyNumberFormat="1" applyFont="1" applyFill="1" applyBorder="1" applyAlignment="1">
      <alignment horizontal="center" vertical="top"/>
    </xf>
    <xf numFmtId="0" fontId="0" fillId="0" borderId="0" xfId="0" applyNumberFormat="1"/>
    <xf numFmtId="0" fontId="3" fillId="0" borderId="12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/>
    <xf numFmtId="0" fontId="3" fillId="0" borderId="4" xfId="0" applyNumberFormat="1" applyFont="1" applyFill="1" applyBorder="1"/>
    <xf numFmtId="0" fontId="4" fillId="0" borderId="12" xfId="0" applyNumberFormat="1" applyFont="1" applyFill="1" applyBorder="1" applyAlignment="1">
      <alignment shrinkToFit="1"/>
    </xf>
    <xf numFmtId="0" fontId="0" fillId="0" borderId="0" xfId="0" applyNumberFormat="1" applyFill="1"/>
    <xf numFmtId="0" fontId="3" fillId="0" borderId="4" xfId="0" applyNumberFormat="1" applyFont="1" applyFill="1" applyBorder="1" applyAlignment="1">
      <alignment horizontal="center" vertical="center"/>
    </xf>
    <xf numFmtId="41" fontId="3" fillId="0" borderId="7" xfId="0" applyNumberFormat="1" applyFont="1" applyFill="1" applyBorder="1" applyAlignment="1">
      <alignment horizontal="center" vertical="top"/>
    </xf>
    <xf numFmtId="165" fontId="4" fillId="0" borderId="7" xfId="0" applyNumberFormat="1" applyFont="1" applyFill="1" applyBorder="1" applyAlignment="1">
      <alignment vertical="center"/>
    </xf>
    <xf numFmtId="165" fontId="7" fillId="0" borderId="7" xfId="0" applyNumberFormat="1" applyFont="1" applyFill="1" applyBorder="1" applyAlignment="1">
      <alignment vertical="center"/>
    </xf>
    <xf numFmtId="0" fontId="12" fillId="0" borderId="4" xfId="4" applyNumberFormat="1" applyFont="1" applyBorder="1" applyAlignment="1" applyProtection="1">
      <alignment vertical="top" wrapText="1"/>
      <protection locked="0"/>
    </xf>
    <xf numFmtId="0" fontId="10" fillId="0" borderId="21" xfId="4" applyNumberFormat="1" applyFont="1" applyBorder="1" applyAlignment="1" applyProtection="1">
      <alignment vertical="top" wrapText="1"/>
      <protection locked="0"/>
    </xf>
    <xf numFmtId="167" fontId="3" fillId="0" borderId="53" xfId="0" applyNumberFormat="1" applyFont="1" applyFill="1" applyBorder="1" applyAlignment="1">
      <alignment horizontal="center" vertical="top"/>
    </xf>
    <xf numFmtId="37" fontId="3" fillId="0" borderId="4" xfId="0" applyNumberFormat="1" applyFont="1" applyFill="1" applyBorder="1" applyAlignment="1">
      <alignment horizontal="right" vertical="top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5">
    <cellStyle name="Comma" xfId="1" builtinId="3"/>
    <cellStyle name="Comma 3" xfId="4"/>
    <cellStyle name="Normal" xfId="0" builtinId="0"/>
    <cellStyle name="Normal 2" xfId="3"/>
    <cellStyle name="Normal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2331974</xdr:colOff>
      <xdr:row>5</xdr:row>
      <xdr:rowOff>304800</xdr:rowOff>
    </xdr:from>
    <xdr:ext cx="3192526" cy="937629"/>
    <xdr:sp macro="" textlink="">
      <xdr:nvSpPr>
        <xdr:cNvPr id="2" name="Rectangle 1"/>
        <xdr:cNvSpPr/>
      </xdr:nvSpPr>
      <xdr:spPr>
        <a:xfrm>
          <a:off x="2627249" y="1609725"/>
          <a:ext cx="3192526" cy="937629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en-US" sz="5400" b="0" cap="none" spc="0">
              <a:ln w="10160">
                <a:solidFill>
                  <a:schemeClr val="accent1"/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N I H I L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84"/>
  <sheetViews>
    <sheetView tabSelected="1" topLeftCell="A70" workbookViewId="0">
      <selection activeCell="A3" sqref="A3"/>
    </sheetView>
  </sheetViews>
  <sheetFormatPr defaultRowHeight="15"/>
  <cols>
    <col min="1" max="1" width="3.28515625" customWidth="1"/>
    <col min="2" max="2" width="20.42578125" customWidth="1"/>
    <col min="3" max="3" width="18.28515625" customWidth="1"/>
    <col min="4" max="4" width="5.5703125" style="61" customWidth="1"/>
    <col min="5" max="5" width="4.5703125" customWidth="1"/>
    <col min="6" max="6" width="8.140625" customWidth="1"/>
    <col min="7" max="7" width="6.7109375" customWidth="1"/>
    <col min="8" max="8" width="8.140625" customWidth="1"/>
    <col min="9" max="9" width="6.7109375" customWidth="1"/>
    <col min="10" max="11" width="8.7109375" customWidth="1"/>
    <col min="12" max="12" width="6.7109375" style="61" customWidth="1"/>
    <col min="13" max="13" width="8.28515625" customWidth="1"/>
    <col min="14" max="14" width="6.7109375" style="126" customWidth="1"/>
    <col min="15" max="15" width="8.7109375" customWidth="1"/>
    <col min="16" max="16" width="6.7109375" customWidth="1"/>
    <col min="17" max="17" width="8.7109375" customWidth="1"/>
    <col min="18" max="18" width="6.7109375" customWidth="1"/>
    <col min="19" max="19" width="8.7109375" customWidth="1"/>
    <col min="20" max="20" width="6.7109375" customWidth="1"/>
    <col min="21" max="21" width="8.7109375" customWidth="1"/>
    <col min="22" max="22" width="6.7109375" customWidth="1"/>
    <col min="23" max="23" width="8.7109375" customWidth="1"/>
    <col min="24" max="24" width="6.7109375" customWidth="1"/>
    <col min="25" max="25" width="8.7109375" customWidth="1"/>
    <col min="26" max="26" width="6.7109375" customWidth="1"/>
    <col min="27" max="27" width="8.7109375" customWidth="1"/>
    <col min="29" max="29" width="8" customWidth="1"/>
  </cols>
  <sheetData>
    <row r="1" spans="1:35">
      <c r="A1" s="142" t="s">
        <v>141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</row>
    <row r="2" spans="1:35">
      <c r="A2" s="142" t="s">
        <v>142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</row>
    <row r="4" spans="1:35" ht="15.75" thickBot="1"/>
    <row r="5" spans="1:35" s="5" customFormat="1" ht="15" customHeight="1" thickTop="1">
      <c r="A5" s="143" t="s">
        <v>0</v>
      </c>
      <c r="B5" s="145" t="s">
        <v>37</v>
      </c>
      <c r="C5" s="145" t="s">
        <v>1</v>
      </c>
      <c r="D5" s="148" t="s">
        <v>44</v>
      </c>
      <c r="E5" s="145" t="s">
        <v>43</v>
      </c>
      <c r="F5" s="145"/>
      <c r="G5" s="145" t="s">
        <v>38</v>
      </c>
      <c r="H5" s="145"/>
      <c r="I5" s="150" t="s">
        <v>46</v>
      </c>
      <c r="J5" s="151"/>
      <c r="K5" s="152"/>
      <c r="L5" s="147" t="s">
        <v>2</v>
      </c>
      <c r="M5" s="147"/>
      <c r="N5" s="147"/>
      <c r="O5" s="147"/>
      <c r="P5" s="147"/>
      <c r="Q5" s="147"/>
      <c r="R5" s="147"/>
      <c r="S5" s="147"/>
      <c r="T5" s="145" t="s">
        <v>50</v>
      </c>
      <c r="U5" s="145"/>
      <c r="V5" s="145" t="s">
        <v>51</v>
      </c>
      <c r="W5" s="145"/>
      <c r="X5" s="150" t="s">
        <v>52</v>
      </c>
      <c r="Y5" s="152"/>
      <c r="Z5" s="145" t="s">
        <v>53</v>
      </c>
      <c r="AA5" s="145"/>
      <c r="AB5" s="145" t="s">
        <v>39</v>
      </c>
      <c r="AC5" s="140" t="s">
        <v>3</v>
      </c>
      <c r="AD5" s="4"/>
      <c r="AE5" s="4"/>
      <c r="AF5" s="4"/>
      <c r="AG5" s="4"/>
      <c r="AH5" s="4"/>
      <c r="AI5" s="4"/>
    </row>
    <row r="6" spans="1:35" s="5" customFormat="1" ht="61.5" customHeight="1">
      <c r="A6" s="144"/>
      <c r="B6" s="146"/>
      <c r="C6" s="146"/>
      <c r="D6" s="149"/>
      <c r="E6" s="146"/>
      <c r="F6" s="146"/>
      <c r="G6" s="146"/>
      <c r="H6" s="146"/>
      <c r="I6" s="153"/>
      <c r="J6" s="154"/>
      <c r="K6" s="155"/>
      <c r="L6" s="156" t="s">
        <v>4</v>
      </c>
      <c r="M6" s="156"/>
      <c r="N6" s="157" t="s">
        <v>5</v>
      </c>
      <c r="O6" s="157"/>
      <c r="P6" s="156" t="s">
        <v>6</v>
      </c>
      <c r="Q6" s="156"/>
      <c r="R6" s="156" t="s">
        <v>7</v>
      </c>
      <c r="S6" s="156"/>
      <c r="T6" s="146"/>
      <c r="U6" s="146"/>
      <c r="V6" s="146"/>
      <c r="W6" s="146"/>
      <c r="X6" s="153"/>
      <c r="Y6" s="155"/>
      <c r="Z6" s="146"/>
      <c r="AA6" s="146"/>
      <c r="AB6" s="146"/>
      <c r="AC6" s="141"/>
      <c r="AD6" s="4"/>
      <c r="AE6" s="4"/>
      <c r="AF6" s="4"/>
      <c r="AG6" s="4"/>
      <c r="AH6" s="4"/>
      <c r="AI6" s="4"/>
    </row>
    <row r="7" spans="1:35" s="5" customFormat="1">
      <c r="A7" s="144">
        <v>1</v>
      </c>
      <c r="B7" s="146">
        <v>3</v>
      </c>
      <c r="C7" s="146">
        <v>4</v>
      </c>
      <c r="D7" s="160" t="s">
        <v>45</v>
      </c>
      <c r="E7" s="156">
        <v>5</v>
      </c>
      <c r="F7" s="156"/>
      <c r="G7" s="156">
        <v>6</v>
      </c>
      <c r="H7" s="156"/>
      <c r="I7" s="162">
        <v>7</v>
      </c>
      <c r="J7" s="163"/>
      <c r="K7" s="164"/>
      <c r="L7" s="156">
        <v>8</v>
      </c>
      <c r="M7" s="156"/>
      <c r="N7" s="156">
        <v>9</v>
      </c>
      <c r="O7" s="156"/>
      <c r="P7" s="156">
        <v>10</v>
      </c>
      <c r="Q7" s="156"/>
      <c r="R7" s="156">
        <v>11</v>
      </c>
      <c r="S7" s="156"/>
      <c r="T7" s="156" t="s">
        <v>9</v>
      </c>
      <c r="U7" s="156"/>
      <c r="V7" s="165" t="s">
        <v>10</v>
      </c>
      <c r="W7" s="165"/>
      <c r="X7" s="165" t="s">
        <v>11</v>
      </c>
      <c r="Y7" s="165"/>
      <c r="Z7" s="165" t="s">
        <v>12</v>
      </c>
      <c r="AA7" s="165"/>
      <c r="AB7" s="166">
        <v>16</v>
      </c>
      <c r="AC7" s="168">
        <v>17</v>
      </c>
      <c r="AD7" s="4"/>
      <c r="AE7" s="4"/>
      <c r="AF7" s="4"/>
      <c r="AG7" s="4"/>
      <c r="AH7" s="4"/>
      <c r="AI7" s="4"/>
    </row>
    <row r="8" spans="1:35" s="5" customFormat="1" ht="26.25" thickBot="1">
      <c r="A8" s="158"/>
      <c r="B8" s="159"/>
      <c r="C8" s="159"/>
      <c r="D8" s="161"/>
      <c r="E8" s="47" t="s">
        <v>8</v>
      </c>
      <c r="F8" s="9" t="s">
        <v>49</v>
      </c>
      <c r="G8" s="8" t="s">
        <v>8</v>
      </c>
      <c r="H8" s="9" t="s">
        <v>49</v>
      </c>
      <c r="I8" s="8" t="s">
        <v>8</v>
      </c>
      <c r="J8" s="48" t="s">
        <v>47</v>
      </c>
      <c r="K8" s="48" t="s">
        <v>48</v>
      </c>
      <c r="L8" s="67" t="s">
        <v>8</v>
      </c>
      <c r="M8" s="9" t="s">
        <v>49</v>
      </c>
      <c r="N8" s="127" t="s">
        <v>8</v>
      </c>
      <c r="O8" s="9" t="s">
        <v>49</v>
      </c>
      <c r="P8" s="8" t="s">
        <v>8</v>
      </c>
      <c r="Q8" s="9" t="s">
        <v>49</v>
      </c>
      <c r="R8" s="8" t="s">
        <v>8</v>
      </c>
      <c r="S8" s="9" t="s">
        <v>49</v>
      </c>
      <c r="T8" s="8" t="s">
        <v>8</v>
      </c>
      <c r="U8" s="9" t="s">
        <v>49</v>
      </c>
      <c r="V8" s="8" t="s">
        <v>8</v>
      </c>
      <c r="W8" s="9" t="s">
        <v>49</v>
      </c>
      <c r="X8" s="8" t="s">
        <v>8</v>
      </c>
      <c r="Y8" s="9" t="s">
        <v>49</v>
      </c>
      <c r="Z8" s="8" t="s">
        <v>8</v>
      </c>
      <c r="AA8" s="9" t="s">
        <v>49</v>
      </c>
      <c r="AB8" s="167"/>
      <c r="AC8" s="169"/>
      <c r="AD8" s="6"/>
      <c r="AE8" s="6"/>
      <c r="AF8" s="6"/>
      <c r="AG8" s="6"/>
      <c r="AH8" s="6"/>
      <c r="AI8" s="6"/>
    </row>
    <row r="9" spans="1:35" s="5" customFormat="1" ht="15.75" thickTop="1">
      <c r="A9" s="33"/>
      <c r="B9" s="10" t="s">
        <v>13</v>
      </c>
      <c r="C9" s="11"/>
      <c r="D9" s="62"/>
      <c r="E9" s="36"/>
      <c r="F9" s="69"/>
      <c r="G9" s="11"/>
      <c r="H9" s="69"/>
      <c r="I9" s="11"/>
      <c r="J9" s="12"/>
      <c r="K9" s="12"/>
      <c r="L9" s="68"/>
      <c r="M9" s="23"/>
      <c r="N9" s="128"/>
      <c r="O9" s="23"/>
      <c r="P9" s="24"/>
      <c r="Q9" s="23"/>
      <c r="R9" s="24"/>
      <c r="S9" s="23"/>
      <c r="T9" s="24"/>
      <c r="U9" s="23"/>
      <c r="V9" s="24"/>
      <c r="W9" s="23"/>
      <c r="X9" s="24"/>
      <c r="Y9" s="23"/>
      <c r="Z9" s="24"/>
      <c r="AA9" s="23"/>
      <c r="AB9" s="23"/>
      <c r="AC9" s="25"/>
    </row>
    <row r="10" spans="1:35" s="5" customFormat="1">
      <c r="A10" s="34"/>
      <c r="B10" s="13" t="s">
        <v>14</v>
      </c>
      <c r="C10" s="14"/>
      <c r="D10" s="21"/>
      <c r="E10" s="37"/>
      <c r="F10" s="26"/>
      <c r="G10" s="14"/>
      <c r="H10" s="26"/>
      <c r="I10" s="14"/>
      <c r="J10" s="15"/>
      <c r="K10" s="15"/>
      <c r="L10" s="22"/>
      <c r="M10" s="26"/>
      <c r="N10" s="129"/>
      <c r="O10" s="26"/>
      <c r="P10" s="27"/>
      <c r="Q10" s="26"/>
      <c r="R10" s="27"/>
      <c r="S10" s="26"/>
      <c r="T10" s="27"/>
      <c r="U10" s="26"/>
      <c r="V10" s="27"/>
      <c r="W10" s="26"/>
      <c r="X10" s="27"/>
      <c r="Y10" s="26"/>
      <c r="Z10" s="27"/>
      <c r="AA10" s="26"/>
      <c r="AB10" s="26"/>
      <c r="AC10" s="28"/>
    </row>
    <row r="11" spans="1:35" s="5" customFormat="1" ht="63.75">
      <c r="A11" s="34"/>
      <c r="B11" s="1" t="s">
        <v>54</v>
      </c>
      <c r="C11" s="3" t="s">
        <v>40</v>
      </c>
      <c r="D11" s="49" t="s">
        <v>42</v>
      </c>
      <c r="E11" s="38">
        <v>20</v>
      </c>
      <c r="F11" s="29">
        <v>2480000</v>
      </c>
      <c r="G11" s="44">
        <v>0</v>
      </c>
      <c r="H11" s="29">
        <v>0</v>
      </c>
      <c r="I11" s="38">
        <v>4</v>
      </c>
      <c r="J11" s="29">
        <v>500000</v>
      </c>
      <c r="K11" s="29">
        <v>480000</v>
      </c>
      <c r="L11" s="38">
        <v>0</v>
      </c>
      <c r="M11" s="72">
        <v>0</v>
      </c>
      <c r="N11" s="38">
        <v>0</v>
      </c>
      <c r="O11" s="35"/>
      <c r="P11" s="38">
        <v>4</v>
      </c>
      <c r="Q11" s="29">
        <v>480000</v>
      </c>
      <c r="R11" s="27"/>
      <c r="S11" s="26"/>
      <c r="T11" s="44">
        <v>4</v>
      </c>
      <c r="U11" s="22">
        <f t="shared" ref="U11:U12" si="0">M11+O11+Q11+S11</f>
        <v>480000</v>
      </c>
      <c r="V11" s="44">
        <f t="shared" ref="V11:V12" si="1">(T11/I11)*100</f>
        <v>100</v>
      </c>
      <c r="W11" s="22">
        <f>(U11/K11)*100</f>
        <v>100</v>
      </c>
      <c r="X11" s="44">
        <f t="shared" ref="X11:X12" si="2">T11+G11</f>
        <v>4</v>
      </c>
      <c r="Y11" s="22">
        <f t="shared" ref="Y11:Y12" si="3">U11+H11</f>
        <v>480000</v>
      </c>
      <c r="Z11" s="38">
        <f>(X11/E11)*100</f>
        <v>20</v>
      </c>
      <c r="AA11" s="94">
        <f>(Y11/F11)*100</f>
        <v>19.35483870967742</v>
      </c>
      <c r="AB11" s="29" t="s">
        <v>41</v>
      </c>
      <c r="AC11" s="28"/>
    </row>
    <row r="12" spans="1:35" s="5" customFormat="1" ht="63.75">
      <c r="A12" s="34"/>
      <c r="B12" s="1" t="s">
        <v>55</v>
      </c>
      <c r="C12" s="3" t="s">
        <v>131</v>
      </c>
      <c r="D12" s="49" t="s">
        <v>42</v>
      </c>
      <c r="E12" s="38">
        <v>55</v>
      </c>
      <c r="F12" s="29">
        <v>490000</v>
      </c>
      <c r="G12" s="38">
        <v>0</v>
      </c>
      <c r="H12" s="29">
        <v>0</v>
      </c>
      <c r="I12" s="38">
        <v>11</v>
      </c>
      <c r="J12" s="29">
        <v>100000</v>
      </c>
      <c r="K12" s="29">
        <v>0</v>
      </c>
      <c r="L12" s="38">
        <v>0</v>
      </c>
      <c r="M12" s="72">
        <v>0</v>
      </c>
      <c r="N12" s="38">
        <v>0</v>
      </c>
      <c r="O12" s="35"/>
      <c r="P12" s="38"/>
      <c r="Q12" s="29"/>
      <c r="R12" s="27"/>
      <c r="S12" s="26"/>
      <c r="T12" s="44">
        <v>0</v>
      </c>
      <c r="U12" s="22">
        <f t="shared" si="0"/>
        <v>0</v>
      </c>
      <c r="V12" s="44">
        <f t="shared" si="1"/>
        <v>0</v>
      </c>
      <c r="W12" s="139">
        <v>0</v>
      </c>
      <c r="X12" s="44">
        <f t="shared" si="2"/>
        <v>0</v>
      </c>
      <c r="Y12" s="22">
        <f t="shared" si="3"/>
        <v>0</v>
      </c>
      <c r="Z12" s="38">
        <f t="shared" ref="Z12:Z73" si="4">(X12/E12)*100</f>
        <v>0</v>
      </c>
      <c r="AA12" s="94">
        <f t="shared" ref="AA12:AA73" si="5">(Y12/F12)*100</f>
        <v>0</v>
      </c>
      <c r="AB12" s="29" t="s">
        <v>41</v>
      </c>
      <c r="AC12" s="28"/>
    </row>
    <row r="13" spans="1:35" s="5" customFormat="1" ht="25.5">
      <c r="A13" s="34"/>
      <c r="B13" s="16" t="s">
        <v>15</v>
      </c>
      <c r="C13" s="17"/>
      <c r="D13" s="63"/>
      <c r="E13" s="39"/>
      <c r="F13" s="54"/>
      <c r="G13" s="18"/>
      <c r="H13" s="54"/>
      <c r="I13" s="18"/>
      <c r="J13" s="54"/>
      <c r="K13" s="54"/>
      <c r="L13" s="22"/>
      <c r="M13" s="26"/>
      <c r="N13" s="129"/>
      <c r="O13" s="26"/>
      <c r="P13" s="38"/>
      <c r="Q13" s="29"/>
      <c r="R13" s="27"/>
      <c r="S13" s="26"/>
      <c r="T13" s="27"/>
      <c r="U13" s="26"/>
      <c r="V13" s="27"/>
      <c r="W13" s="22"/>
      <c r="X13" s="27"/>
      <c r="Y13" s="26"/>
      <c r="Z13" s="38"/>
      <c r="AA13" s="94"/>
      <c r="AB13" s="26"/>
      <c r="AC13" s="28"/>
    </row>
    <row r="14" spans="1:35" s="5" customFormat="1">
      <c r="A14" s="34"/>
      <c r="B14" s="13" t="s">
        <v>16</v>
      </c>
      <c r="C14" s="19"/>
      <c r="D14" s="49"/>
      <c r="E14" s="40"/>
      <c r="F14" s="26"/>
      <c r="G14" s="20"/>
      <c r="H14" s="26"/>
      <c r="I14" s="20"/>
      <c r="J14" s="26"/>
      <c r="K14" s="26"/>
      <c r="L14" s="22"/>
      <c r="M14" s="26"/>
      <c r="N14" s="129"/>
      <c r="O14" s="26"/>
      <c r="P14" s="38"/>
      <c r="Q14" s="29"/>
      <c r="R14" s="27"/>
      <c r="S14" s="26"/>
      <c r="T14" s="27"/>
      <c r="U14" s="26"/>
      <c r="V14" s="27"/>
      <c r="W14" s="22"/>
      <c r="X14" s="27"/>
      <c r="Y14" s="26"/>
      <c r="Z14" s="38"/>
      <c r="AA14" s="94"/>
      <c r="AB14" s="26"/>
      <c r="AC14" s="28"/>
    </row>
    <row r="15" spans="1:35" s="5" customFormat="1" ht="25.5">
      <c r="A15" s="34"/>
      <c r="B15" s="2" t="s">
        <v>29</v>
      </c>
      <c r="C15" s="3"/>
      <c r="D15" s="49"/>
      <c r="E15" s="41"/>
      <c r="F15" s="22"/>
      <c r="G15" s="43"/>
      <c r="H15" s="22"/>
      <c r="I15" s="44"/>
      <c r="J15" s="22"/>
      <c r="K15" s="22"/>
      <c r="L15" s="44"/>
      <c r="M15" s="22"/>
      <c r="N15" s="38"/>
      <c r="O15" s="22"/>
      <c r="P15" s="38"/>
      <c r="Q15" s="22"/>
      <c r="R15" s="44"/>
      <c r="S15" s="22"/>
      <c r="T15" s="44"/>
      <c r="U15" s="22"/>
      <c r="V15" s="44"/>
      <c r="W15" s="22"/>
      <c r="X15" s="44"/>
      <c r="Y15" s="22"/>
      <c r="Z15" s="38"/>
      <c r="AA15" s="94"/>
      <c r="AB15" s="22"/>
      <c r="AC15" s="30"/>
    </row>
    <row r="16" spans="1:35" s="5" customFormat="1" ht="38.25">
      <c r="A16" s="34"/>
      <c r="B16" s="56" t="s">
        <v>57</v>
      </c>
      <c r="C16" s="52" t="s">
        <v>58</v>
      </c>
      <c r="D16" s="49" t="s">
        <v>128</v>
      </c>
      <c r="E16" s="41">
        <v>60</v>
      </c>
      <c r="F16" s="22">
        <v>9500</v>
      </c>
      <c r="G16" s="43">
        <v>0</v>
      </c>
      <c r="H16" s="22">
        <v>0</v>
      </c>
      <c r="I16" s="44">
        <v>12</v>
      </c>
      <c r="J16" s="22">
        <v>1500</v>
      </c>
      <c r="K16" s="22">
        <v>1500</v>
      </c>
      <c r="L16" s="44">
        <v>3</v>
      </c>
      <c r="M16" s="22">
        <v>0</v>
      </c>
      <c r="N16" s="38">
        <v>3</v>
      </c>
      <c r="O16" s="22">
        <v>0</v>
      </c>
      <c r="P16" s="38">
        <v>3</v>
      </c>
      <c r="Q16" s="22">
        <v>1500</v>
      </c>
      <c r="R16" s="44"/>
      <c r="S16" s="22"/>
      <c r="T16" s="44">
        <f>L16+N16+P16+R16</f>
        <v>9</v>
      </c>
      <c r="U16" s="22">
        <f>M16+O16+Q16+S16</f>
        <v>1500</v>
      </c>
      <c r="V16" s="44">
        <f>(T16/I16)*100</f>
        <v>75</v>
      </c>
      <c r="W16" s="22">
        <f t="shared" ref="W16:W73" si="6">(U16/K16)*100</f>
        <v>100</v>
      </c>
      <c r="X16" s="44">
        <f>T16+G16</f>
        <v>9</v>
      </c>
      <c r="Y16" s="22">
        <f>U16+H16</f>
        <v>1500</v>
      </c>
      <c r="Z16" s="38">
        <f t="shared" si="4"/>
        <v>15</v>
      </c>
      <c r="AA16" s="94">
        <f t="shared" si="5"/>
        <v>15.789473684210526</v>
      </c>
      <c r="AB16" s="29" t="s">
        <v>41</v>
      </c>
      <c r="AC16" s="30"/>
    </row>
    <row r="17" spans="1:29" s="5" customFormat="1" ht="25.5">
      <c r="A17" s="34"/>
      <c r="B17" s="2" t="s">
        <v>33</v>
      </c>
      <c r="C17" s="3"/>
      <c r="D17" s="49"/>
      <c r="E17" s="41"/>
      <c r="F17" s="22"/>
      <c r="G17" s="43"/>
      <c r="H17" s="22"/>
      <c r="I17" s="44"/>
      <c r="J17" s="22"/>
      <c r="K17" s="22"/>
      <c r="L17" s="44"/>
      <c r="M17" s="22"/>
      <c r="N17" s="38"/>
      <c r="O17" s="22"/>
      <c r="P17" s="38"/>
      <c r="Q17" s="22"/>
      <c r="R17" s="44"/>
      <c r="S17" s="22"/>
      <c r="T17" s="44"/>
      <c r="U17" s="22"/>
      <c r="V17" s="44"/>
      <c r="W17" s="22"/>
      <c r="X17" s="44"/>
      <c r="Y17" s="22"/>
      <c r="Z17" s="38"/>
      <c r="AA17" s="94"/>
      <c r="AB17" s="22"/>
      <c r="AC17" s="30"/>
    </row>
    <row r="18" spans="1:29" s="5" customFormat="1" ht="25.5">
      <c r="A18" s="34"/>
      <c r="B18" s="56" t="s">
        <v>56</v>
      </c>
      <c r="C18" s="52" t="s">
        <v>59</v>
      </c>
      <c r="D18" s="49" t="s">
        <v>128</v>
      </c>
      <c r="E18" s="41">
        <v>60</v>
      </c>
      <c r="F18" s="22">
        <v>26500</v>
      </c>
      <c r="G18" s="70">
        <v>0</v>
      </c>
      <c r="H18" s="72">
        <v>0</v>
      </c>
      <c r="I18" s="44">
        <v>12</v>
      </c>
      <c r="J18" s="22">
        <v>1500</v>
      </c>
      <c r="K18" s="22">
        <v>4500</v>
      </c>
      <c r="L18" s="44">
        <v>3</v>
      </c>
      <c r="M18" s="22">
        <v>500</v>
      </c>
      <c r="N18" s="38">
        <v>3</v>
      </c>
      <c r="O18" s="22">
        <v>0</v>
      </c>
      <c r="P18" s="38">
        <v>3</v>
      </c>
      <c r="Q18" s="22">
        <f>3740-500</f>
        <v>3240</v>
      </c>
      <c r="R18" s="44"/>
      <c r="S18" s="22"/>
      <c r="T18" s="44">
        <f t="shared" ref="T18:T73" si="7">L18+N18+P18+R18</f>
        <v>9</v>
      </c>
      <c r="U18" s="22">
        <f t="shared" ref="U18:U73" si="8">M18+O18+Q18+S18</f>
        <v>3740</v>
      </c>
      <c r="V18" s="44">
        <f t="shared" ref="V18:V73" si="9">(T18/I18)*100</f>
        <v>75</v>
      </c>
      <c r="W18" s="93">
        <f t="shared" si="6"/>
        <v>83.111111111111114</v>
      </c>
      <c r="X18" s="44">
        <f t="shared" ref="X18:X73" si="10">T18+G18</f>
        <v>9</v>
      </c>
      <c r="Y18" s="22">
        <f t="shared" ref="Y18:Y73" si="11">U18+H18</f>
        <v>3740</v>
      </c>
      <c r="Z18" s="38">
        <f t="shared" si="4"/>
        <v>15</v>
      </c>
      <c r="AA18" s="94">
        <f t="shared" si="5"/>
        <v>14.113207547169813</v>
      </c>
      <c r="AB18" s="29" t="s">
        <v>41</v>
      </c>
      <c r="AC18" s="30"/>
    </row>
    <row r="19" spans="1:29" s="5" customFormat="1" ht="38.25">
      <c r="A19" s="34"/>
      <c r="B19" s="2" t="s">
        <v>22</v>
      </c>
      <c r="C19" s="3"/>
      <c r="D19" s="49"/>
      <c r="E19" s="41"/>
      <c r="F19" s="22"/>
      <c r="G19" s="43"/>
      <c r="H19" s="22"/>
      <c r="I19" s="45"/>
      <c r="J19" s="22"/>
      <c r="K19" s="22"/>
      <c r="L19" s="44"/>
      <c r="M19" s="22"/>
      <c r="N19" s="38"/>
      <c r="O19" s="22"/>
      <c r="P19" s="38"/>
      <c r="Q19" s="22"/>
      <c r="R19" s="44"/>
      <c r="S19" s="22"/>
      <c r="T19" s="44"/>
      <c r="U19" s="22"/>
      <c r="V19" s="44"/>
      <c r="W19" s="22"/>
      <c r="X19" s="44"/>
      <c r="Y19" s="22"/>
      <c r="Z19" s="38"/>
      <c r="AA19" s="94"/>
      <c r="AB19" s="22"/>
      <c r="AC19" s="30"/>
    </row>
    <row r="20" spans="1:29" s="5" customFormat="1" ht="38.25">
      <c r="A20" s="34"/>
      <c r="B20" s="51" t="s">
        <v>23</v>
      </c>
      <c r="C20" s="52" t="s">
        <v>60</v>
      </c>
      <c r="D20" s="49" t="s">
        <v>42</v>
      </c>
      <c r="E20" s="41">
        <v>55</v>
      </c>
      <c r="F20" s="22">
        <f>24960*5</f>
        <v>124800</v>
      </c>
      <c r="G20" s="43">
        <v>0</v>
      </c>
      <c r="H20" s="22">
        <v>0</v>
      </c>
      <c r="I20" s="44">
        <v>11</v>
      </c>
      <c r="J20" s="22">
        <v>19200</v>
      </c>
      <c r="K20" s="22">
        <v>24960</v>
      </c>
      <c r="L20" s="44">
        <v>2</v>
      </c>
      <c r="M20" s="22">
        <v>3000</v>
      </c>
      <c r="N20" s="38">
        <v>3</v>
      </c>
      <c r="O20" s="22">
        <f>11640-3000</f>
        <v>8640</v>
      </c>
      <c r="P20" s="38">
        <v>3</v>
      </c>
      <c r="Q20" s="22">
        <f>14680-11640</f>
        <v>3040</v>
      </c>
      <c r="R20" s="44"/>
      <c r="S20" s="22"/>
      <c r="T20" s="44">
        <f t="shared" si="7"/>
        <v>8</v>
      </c>
      <c r="U20" s="22">
        <f t="shared" si="8"/>
        <v>14680</v>
      </c>
      <c r="V20" s="44">
        <f t="shared" si="9"/>
        <v>72.727272727272734</v>
      </c>
      <c r="W20" s="93">
        <f t="shared" si="6"/>
        <v>58.814102564102569</v>
      </c>
      <c r="X20" s="44">
        <f t="shared" si="10"/>
        <v>8</v>
      </c>
      <c r="Y20" s="22">
        <f t="shared" si="11"/>
        <v>14680</v>
      </c>
      <c r="Z20" s="83">
        <f t="shared" si="4"/>
        <v>14.545454545454545</v>
      </c>
      <c r="AA20" s="94">
        <f t="shared" si="5"/>
        <v>11.762820512820513</v>
      </c>
      <c r="AB20" s="29" t="s">
        <v>41</v>
      </c>
      <c r="AC20" s="30"/>
    </row>
    <row r="21" spans="1:29" s="5" customFormat="1" ht="25.5">
      <c r="A21" s="34"/>
      <c r="B21" s="51" t="s">
        <v>24</v>
      </c>
      <c r="C21" s="52" t="s">
        <v>60</v>
      </c>
      <c r="D21" s="49" t="s">
        <v>128</v>
      </c>
      <c r="E21" s="41">
        <v>60</v>
      </c>
      <c r="F21" s="22">
        <f>2750+(3000*4)</f>
        <v>14750</v>
      </c>
      <c r="G21" s="43">
        <v>0</v>
      </c>
      <c r="H21" s="22">
        <v>0</v>
      </c>
      <c r="I21" s="44">
        <v>12</v>
      </c>
      <c r="J21" s="22">
        <v>2750</v>
      </c>
      <c r="K21" s="22">
        <v>2750</v>
      </c>
      <c r="L21" s="44">
        <v>3</v>
      </c>
      <c r="M21" s="22">
        <v>1520</v>
      </c>
      <c r="N21" s="38">
        <v>3</v>
      </c>
      <c r="O21" s="22">
        <f>2750-1520</f>
        <v>1230</v>
      </c>
      <c r="P21" s="38">
        <v>3</v>
      </c>
      <c r="Q21" s="22">
        <v>0</v>
      </c>
      <c r="R21" s="44"/>
      <c r="S21" s="22"/>
      <c r="T21" s="44">
        <f t="shared" si="7"/>
        <v>9</v>
      </c>
      <c r="U21" s="22">
        <f t="shared" si="8"/>
        <v>2750</v>
      </c>
      <c r="V21" s="44">
        <f t="shared" si="9"/>
        <v>75</v>
      </c>
      <c r="W21" s="22">
        <f t="shared" si="6"/>
        <v>100</v>
      </c>
      <c r="X21" s="44">
        <f t="shared" si="10"/>
        <v>9</v>
      </c>
      <c r="Y21" s="22">
        <f t="shared" si="11"/>
        <v>2750</v>
      </c>
      <c r="Z21" s="38">
        <f t="shared" si="4"/>
        <v>15</v>
      </c>
      <c r="AA21" s="94">
        <f t="shared" si="5"/>
        <v>18.64406779661017</v>
      </c>
      <c r="AB21" s="29" t="s">
        <v>41</v>
      </c>
      <c r="AC21" s="30"/>
    </row>
    <row r="22" spans="1:29" s="5" customFormat="1" ht="38.25">
      <c r="A22" s="34"/>
      <c r="B22" s="53" t="s">
        <v>61</v>
      </c>
      <c r="C22" s="52"/>
      <c r="D22" s="49"/>
      <c r="E22" s="41"/>
      <c r="F22" s="22"/>
      <c r="G22" s="43"/>
      <c r="H22" s="22"/>
      <c r="I22" s="44"/>
      <c r="J22" s="22"/>
      <c r="K22" s="22"/>
      <c r="L22" s="44"/>
      <c r="M22" s="22"/>
      <c r="N22" s="38"/>
      <c r="O22" s="22"/>
      <c r="P22" s="38"/>
      <c r="Q22" s="22"/>
      <c r="R22" s="44"/>
      <c r="S22" s="22"/>
      <c r="T22" s="44"/>
      <c r="U22" s="22"/>
      <c r="V22" s="44"/>
      <c r="W22" s="22"/>
      <c r="X22" s="44"/>
      <c r="Y22" s="22"/>
      <c r="Z22" s="38"/>
      <c r="AA22" s="94"/>
      <c r="AB22" s="29"/>
      <c r="AC22" s="30"/>
    </row>
    <row r="23" spans="1:29" s="5" customFormat="1" ht="25.5">
      <c r="A23" s="34"/>
      <c r="B23" s="51" t="s">
        <v>62</v>
      </c>
      <c r="C23" s="52" t="s">
        <v>63</v>
      </c>
      <c r="D23" s="49" t="s">
        <v>128</v>
      </c>
      <c r="E23" s="41">
        <v>60</v>
      </c>
      <c r="F23" s="22">
        <v>12500</v>
      </c>
      <c r="G23" s="70">
        <v>0</v>
      </c>
      <c r="H23" s="72">
        <v>0</v>
      </c>
      <c r="I23" s="44">
        <v>12</v>
      </c>
      <c r="J23" s="22">
        <v>1500</v>
      </c>
      <c r="K23" s="22">
        <v>1500</v>
      </c>
      <c r="L23" s="44">
        <v>3</v>
      </c>
      <c r="M23" s="22">
        <v>730</v>
      </c>
      <c r="N23" s="38">
        <v>3</v>
      </c>
      <c r="O23" s="22">
        <f>1500-730</f>
        <v>770</v>
      </c>
      <c r="P23" s="38">
        <v>3</v>
      </c>
      <c r="Q23" s="22">
        <v>0</v>
      </c>
      <c r="R23" s="44"/>
      <c r="S23" s="22"/>
      <c r="T23" s="44">
        <f t="shared" si="7"/>
        <v>9</v>
      </c>
      <c r="U23" s="22">
        <f t="shared" si="8"/>
        <v>1500</v>
      </c>
      <c r="V23" s="44">
        <f t="shared" si="9"/>
        <v>75</v>
      </c>
      <c r="W23" s="22">
        <f t="shared" si="6"/>
        <v>100</v>
      </c>
      <c r="X23" s="44">
        <f t="shared" si="10"/>
        <v>9</v>
      </c>
      <c r="Y23" s="22">
        <f t="shared" si="11"/>
        <v>1500</v>
      </c>
      <c r="Z23" s="38">
        <f t="shared" si="4"/>
        <v>15</v>
      </c>
      <c r="AA23" s="94">
        <f t="shared" si="5"/>
        <v>12</v>
      </c>
      <c r="AB23" s="29" t="s">
        <v>41</v>
      </c>
      <c r="AC23" s="30"/>
    </row>
    <row r="24" spans="1:29" s="5" customFormat="1" ht="38.25">
      <c r="A24" s="34"/>
      <c r="B24" s="2" t="s">
        <v>30</v>
      </c>
      <c r="C24" s="3"/>
      <c r="D24" s="49"/>
      <c r="E24" s="41"/>
      <c r="F24" s="22"/>
      <c r="G24" s="43"/>
      <c r="H24" s="22"/>
      <c r="I24" s="44"/>
      <c r="J24" s="22"/>
      <c r="K24" s="22"/>
      <c r="L24" s="44"/>
      <c r="M24" s="22"/>
      <c r="N24" s="38"/>
      <c r="O24" s="22"/>
      <c r="P24" s="38"/>
      <c r="Q24" s="22"/>
      <c r="R24" s="44"/>
      <c r="S24" s="22"/>
      <c r="T24" s="44"/>
      <c r="U24" s="22"/>
      <c r="V24" s="44"/>
      <c r="W24" s="22"/>
      <c r="X24" s="44"/>
      <c r="Y24" s="22"/>
      <c r="Z24" s="38"/>
      <c r="AA24" s="94"/>
      <c r="AB24" s="22"/>
      <c r="AC24" s="30"/>
    </row>
    <row r="25" spans="1:29" s="5" customFormat="1" ht="38.25">
      <c r="A25" s="34"/>
      <c r="B25" s="51" t="s">
        <v>64</v>
      </c>
      <c r="C25" s="52" t="s">
        <v>65</v>
      </c>
      <c r="D25" s="49" t="s">
        <v>128</v>
      </c>
      <c r="E25" s="41">
        <v>60</v>
      </c>
      <c r="F25" s="22">
        <v>7500</v>
      </c>
      <c r="G25" s="43">
        <v>0</v>
      </c>
      <c r="H25" s="22">
        <v>0</v>
      </c>
      <c r="I25" s="44">
        <v>12</v>
      </c>
      <c r="J25" s="22">
        <v>1500</v>
      </c>
      <c r="K25" s="22">
        <v>1500</v>
      </c>
      <c r="L25" s="44">
        <v>3</v>
      </c>
      <c r="M25" s="22">
        <v>0</v>
      </c>
      <c r="N25" s="38">
        <v>3</v>
      </c>
      <c r="O25" s="22">
        <v>0</v>
      </c>
      <c r="P25" s="38">
        <v>3</v>
      </c>
      <c r="Q25" s="22">
        <v>1500</v>
      </c>
      <c r="R25" s="44"/>
      <c r="S25" s="22"/>
      <c r="T25" s="44">
        <f t="shared" si="7"/>
        <v>9</v>
      </c>
      <c r="U25" s="22">
        <f t="shared" si="8"/>
        <v>1500</v>
      </c>
      <c r="V25" s="44">
        <f t="shared" si="9"/>
        <v>75</v>
      </c>
      <c r="W25" s="22">
        <f t="shared" si="6"/>
        <v>100</v>
      </c>
      <c r="X25" s="44">
        <f t="shared" si="10"/>
        <v>9</v>
      </c>
      <c r="Y25" s="22">
        <f t="shared" si="11"/>
        <v>1500</v>
      </c>
      <c r="Z25" s="38">
        <f t="shared" si="4"/>
        <v>15</v>
      </c>
      <c r="AA25" s="94">
        <f t="shared" si="5"/>
        <v>20</v>
      </c>
      <c r="AB25" s="29" t="s">
        <v>41</v>
      </c>
      <c r="AC25" s="30"/>
    </row>
    <row r="26" spans="1:29" s="5" customFormat="1" ht="25.5">
      <c r="A26" s="34"/>
      <c r="B26" s="2" t="s">
        <v>17</v>
      </c>
      <c r="C26" s="3"/>
      <c r="D26" s="49"/>
      <c r="E26" s="38"/>
      <c r="F26" s="29"/>
      <c r="G26" s="21"/>
      <c r="H26" s="29"/>
      <c r="I26" s="21"/>
      <c r="J26" s="29"/>
      <c r="K26" s="29"/>
      <c r="L26" s="22"/>
      <c r="M26" s="26"/>
      <c r="N26" s="129"/>
      <c r="O26" s="26"/>
      <c r="P26" s="38"/>
      <c r="Q26" s="29"/>
      <c r="R26" s="27"/>
      <c r="S26" s="26"/>
      <c r="T26" s="44"/>
      <c r="U26" s="22"/>
      <c r="V26" s="44"/>
      <c r="W26" s="93"/>
      <c r="X26" s="44"/>
      <c r="Y26" s="22"/>
      <c r="Z26" s="38"/>
      <c r="AA26" s="94"/>
      <c r="AB26" s="26"/>
      <c r="AC26" s="28"/>
    </row>
    <row r="27" spans="1:29" s="5" customFormat="1">
      <c r="A27" s="34"/>
      <c r="B27" s="57" t="s">
        <v>66</v>
      </c>
      <c r="C27" s="52" t="s">
        <v>67</v>
      </c>
      <c r="D27" s="49" t="s">
        <v>128</v>
      </c>
      <c r="E27" s="38">
        <v>60</v>
      </c>
      <c r="F27" s="29">
        <v>11500</v>
      </c>
      <c r="G27" s="71">
        <v>0</v>
      </c>
      <c r="H27" s="72">
        <v>0</v>
      </c>
      <c r="I27" s="21">
        <v>12</v>
      </c>
      <c r="J27" s="29">
        <v>2000</v>
      </c>
      <c r="K27" s="29">
        <v>2000</v>
      </c>
      <c r="L27" s="38">
        <v>3</v>
      </c>
      <c r="M27" s="26">
        <v>0</v>
      </c>
      <c r="N27" s="132">
        <v>3</v>
      </c>
      <c r="O27" s="26">
        <v>800</v>
      </c>
      <c r="P27" s="38">
        <v>3</v>
      </c>
      <c r="Q27" s="29">
        <f>1600-800</f>
        <v>800</v>
      </c>
      <c r="R27" s="27"/>
      <c r="S27" s="26"/>
      <c r="T27" s="44">
        <f t="shared" si="7"/>
        <v>9</v>
      </c>
      <c r="U27" s="22">
        <f t="shared" si="8"/>
        <v>1600</v>
      </c>
      <c r="V27" s="44">
        <f t="shared" si="9"/>
        <v>75</v>
      </c>
      <c r="W27" s="93">
        <f t="shared" si="6"/>
        <v>80</v>
      </c>
      <c r="X27" s="44">
        <f t="shared" si="10"/>
        <v>9</v>
      </c>
      <c r="Y27" s="22">
        <f t="shared" si="11"/>
        <v>1600</v>
      </c>
      <c r="Z27" s="38">
        <f t="shared" si="4"/>
        <v>15</v>
      </c>
      <c r="AA27" s="94">
        <f t="shared" si="5"/>
        <v>13.913043478260869</v>
      </c>
      <c r="AB27" s="29" t="s">
        <v>41</v>
      </c>
      <c r="AC27" s="28"/>
    </row>
    <row r="28" spans="1:29" s="5" customFormat="1" ht="25.5">
      <c r="A28" s="34"/>
      <c r="B28" s="57" t="s">
        <v>68</v>
      </c>
      <c r="C28" s="52" t="s">
        <v>67</v>
      </c>
      <c r="D28" s="49" t="s">
        <v>128</v>
      </c>
      <c r="E28" s="41">
        <v>60</v>
      </c>
      <c r="F28" s="22">
        <v>55000</v>
      </c>
      <c r="G28" s="43">
        <v>0</v>
      </c>
      <c r="H28" s="22">
        <v>0</v>
      </c>
      <c r="I28" s="43">
        <v>12</v>
      </c>
      <c r="J28" s="22">
        <v>11000</v>
      </c>
      <c r="K28" s="22">
        <f>11000+1430</f>
        <v>12430</v>
      </c>
      <c r="L28" s="44">
        <v>3</v>
      </c>
      <c r="M28" s="65">
        <v>3325.6559999999999</v>
      </c>
      <c r="N28" s="38">
        <v>3</v>
      </c>
      <c r="O28" s="65">
        <f>6116.651-3325.656</f>
        <v>2790.9949999999999</v>
      </c>
      <c r="P28" s="38">
        <v>3</v>
      </c>
      <c r="Q28" s="65">
        <f>8381.683-6116.651</f>
        <v>2265.0320000000011</v>
      </c>
      <c r="R28" s="44"/>
      <c r="S28" s="22"/>
      <c r="T28" s="44">
        <f t="shared" si="7"/>
        <v>9</v>
      </c>
      <c r="U28" s="65">
        <f t="shared" si="8"/>
        <v>8381.6830000000009</v>
      </c>
      <c r="V28" s="44">
        <f t="shared" si="9"/>
        <v>75</v>
      </c>
      <c r="W28" s="93">
        <f t="shared" si="6"/>
        <v>67.431078037007254</v>
      </c>
      <c r="X28" s="44">
        <f t="shared" si="10"/>
        <v>9</v>
      </c>
      <c r="Y28" s="65">
        <f t="shared" si="11"/>
        <v>8381.6830000000009</v>
      </c>
      <c r="Z28" s="38">
        <f t="shared" si="4"/>
        <v>15</v>
      </c>
      <c r="AA28" s="94">
        <f t="shared" si="5"/>
        <v>15.23942363636364</v>
      </c>
      <c r="AB28" s="29" t="s">
        <v>41</v>
      </c>
      <c r="AC28" s="30"/>
    </row>
    <row r="29" spans="1:29" s="5" customFormat="1" ht="25.5">
      <c r="A29" s="34"/>
      <c r="B29" s="57" t="s">
        <v>18</v>
      </c>
      <c r="C29" s="52" t="s">
        <v>69</v>
      </c>
      <c r="D29" s="49" t="s">
        <v>128</v>
      </c>
      <c r="E29" s="41">
        <v>60</v>
      </c>
      <c r="F29" s="22">
        <v>9000</v>
      </c>
      <c r="G29" s="43">
        <v>0</v>
      </c>
      <c r="H29" s="22">
        <v>0</v>
      </c>
      <c r="I29" s="43">
        <v>12</v>
      </c>
      <c r="J29" s="22">
        <v>1500</v>
      </c>
      <c r="K29" s="22">
        <v>1500</v>
      </c>
      <c r="L29" s="44">
        <v>3</v>
      </c>
      <c r="M29" s="22">
        <v>0</v>
      </c>
      <c r="N29" s="38">
        <v>3</v>
      </c>
      <c r="O29" s="22">
        <v>450</v>
      </c>
      <c r="P29" s="38">
        <v>3</v>
      </c>
      <c r="Q29" s="22">
        <f>910-450</f>
        <v>460</v>
      </c>
      <c r="R29" s="44"/>
      <c r="S29" s="22"/>
      <c r="T29" s="44">
        <f t="shared" si="7"/>
        <v>9</v>
      </c>
      <c r="U29" s="22">
        <f t="shared" si="8"/>
        <v>910</v>
      </c>
      <c r="V29" s="44">
        <f t="shared" si="9"/>
        <v>75</v>
      </c>
      <c r="W29" s="93">
        <f t="shared" si="6"/>
        <v>60.666666666666671</v>
      </c>
      <c r="X29" s="44">
        <f t="shared" si="10"/>
        <v>9</v>
      </c>
      <c r="Y29" s="22">
        <f t="shared" si="11"/>
        <v>910</v>
      </c>
      <c r="Z29" s="38">
        <f t="shared" si="4"/>
        <v>15</v>
      </c>
      <c r="AA29" s="94">
        <f t="shared" si="5"/>
        <v>10.111111111111111</v>
      </c>
      <c r="AB29" s="29" t="s">
        <v>41</v>
      </c>
      <c r="AC29" s="30"/>
    </row>
    <row r="30" spans="1:29" s="5" customFormat="1" ht="25.5">
      <c r="A30" s="34"/>
      <c r="B30" s="57" t="s">
        <v>70</v>
      </c>
      <c r="C30" s="52" t="s">
        <v>71</v>
      </c>
      <c r="D30" s="49" t="s">
        <v>128</v>
      </c>
      <c r="E30" s="41">
        <v>60</v>
      </c>
      <c r="F30" s="22">
        <f>5200+5500+5750+6000+6250</f>
        <v>28700</v>
      </c>
      <c r="G30" s="43">
        <v>0</v>
      </c>
      <c r="H30" s="22">
        <v>0</v>
      </c>
      <c r="I30" s="43">
        <v>12</v>
      </c>
      <c r="J30" s="22">
        <v>5500</v>
      </c>
      <c r="K30" s="22">
        <v>5200</v>
      </c>
      <c r="L30" s="44">
        <v>3</v>
      </c>
      <c r="M30" s="66">
        <v>1050.5</v>
      </c>
      <c r="N30" s="38">
        <v>3</v>
      </c>
      <c r="O30" s="66">
        <f>2475-1050.5</f>
        <v>1424.5</v>
      </c>
      <c r="P30" s="38">
        <v>3</v>
      </c>
      <c r="Q30" s="22">
        <f>4141-2475</f>
        <v>1666</v>
      </c>
      <c r="R30" s="44"/>
      <c r="S30" s="22"/>
      <c r="T30" s="44">
        <f t="shared" si="7"/>
        <v>9</v>
      </c>
      <c r="U30" s="66">
        <f t="shared" si="8"/>
        <v>4141</v>
      </c>
      <c r="V30" s="44">
        <f t="shared" si="9"/>
        <v>75</v>
      </c>
      <c r="W30" s="66">
        <f t="shared" si="6"/>
        <v>79.634615384615387</v>
      </c>
      <c r="X30" s="44">
        <f t="shared" si="10"/>
        <v>9</v>
      </c>
      <c r="Y30" s="66">
        <f t="shared" si="11"/>
        <v>4141</v>
      </c>
      <c r="Z30" s="38">
        <f t="shared" si="4"/>
        <v>15</v>
      </c>
      <c r="AA30" s="94">
        <f t="shared" si="5"/>
        <v>14.428571428571429</v>
      </c>
      <c r="AB30" s="29" t="s">
        <v>41</v>
      </c>
      <c r="AC30" s="30"/>
    </row>
    <row r="31" spans="1:29" s="5" customFormat="1" ht="25.5">
      <c r="A31" s="34"/>
      <c r="B31" s="57" t="s">
        <v>19</v>
      </c>
      <c r="C31" s="52" t="s">
        <v>72</v>
      </c>
      <c r="D31" s="49" t="s">
        <v>128</v>
      </c>
      <c r="E31" s="41">
        <v>60</v>
      </c>
      <c r="F31" s="22">
        <v>12500</v>
      </c>
      <c r="G31" s="43">
        <v>0</v>
      </c>
      <c r="H31" s="22">
        <v>0</v>
      </c>
      <c r="I31" s="43">
        <v>12</v>
      </c>
      <c r="J31" s="22">
        <v>2500</v>
      </c>
      <c r="K31" s="22">
        <v>2500</v>
      </c>
      <c r="L31" s="44">
        <v>3</v>
      </c>
      <c r="M31" s="22">
        <v>0</v>
      </c>
      <c r="N31" s="38">
        <v>3</v>
      </c>
      <c r="O31" s="22">
        <v>750</v>
      </c>
      <c r="P31" s="38">
        <v>3</v>
      </c>
      <c r="Q31" s="22">
        <f>1550-750</f>
        <v>800</v>
      </c>
      <c r="R31" s="44"/>
      <c r="S31" s="22"/>
      <c r="T31" s="44">
        <f t="shared" si="7"/>
        <v>9</v>
      </c>
      <c r="U31" s="22">
        <f t="shared" si="8"/>
        <v>1550</v>
      </c>
      <c r="V31" s="44">
        <f t="shared" si="9"/>
        <v>75</v>
      </c>
      <c r="W31" s="93">
        <f t="shared" si="6"/>
        <v>62</v>
      </c>
      <c r="X31" s="44">
        <f t="shared" si="10"/>
        <v>9</v>
      </c>
      <c r="Y31" s="22">
        <f t="shared" si="11"/>
        <v>1550</v>
      </c>
      <c r="Z31" s="38">
        <f t="shared" si="4"/>
        <v>15</v>
      </c>
      <c r="AA31" s="94">
        <f t="shared" si="5"/>
        <v>12.4</v>
      </c>
      <c r="AB31" s="29" t="s">
        <v>41</v>
      </c>
      <c r="AC31" s="30"/>
    </row>
    <row r="32" spans="1:29" s="5" customFormat="1" ht="38.25">
      <c r="A32" s="34"/>
      <c r="B32" s="57" t="s">
        <v>73</v>
      </c>
      <c r="C32" s="52" t="s">
        <v>74</v>
      </c>
      <c r="D32" s="49" t="s">
        <v>128</v>
      </c>
      <c r="E32" s="41">
        <v>60</v>
      </c>
      <c r="F32" s="22">
        <v>9000</v>
      </c>
      <c r="G32" s="43">
        <v>0</v>
      </c>
      <c r="H32" s="22">
        <v>0</v>
      </c>
      <c r="I32" s="43">
        <v>12</v>
      </c>
      <c r="J32" s="22">
        <v>1500</v>
      </c>
      <c r="K32" s="22">
        <v>1500</v>
      </c>
      <c r="L32" s="44">
        <v>3</v>
      </c>
      <c r="M32" s="66">
        <v>627.5</v>
      </c>
      <c r="N32" s="38">
        <v>3</v>
      </c>
      <c r="O32" s="22">
        <v>0</v>
      </c>
      <c r="P32" s="38">
        <v>3</v>
      </c>
      <c r="Q32" s="22">
        <v>0</v>
      </c>
      <c r="R32" s="44"/>
      <c r="S32" s="22"/>
      <c r="T32" s="44">
        <f t="shared" si="7"/>
        <v>9</v>
      </c>
      <c r="U32" s="66">
        <f t="shared" si="8"/>
        <v>627.5</v>
      </c>
      <c r="V32" s="44">
        <f t="shared" si="9"/>
        <v>75</v>
      </c>
      <c r="W32" s="93">
        <f t="shared" si="6"/>
        <v>41.833333333333336</v>
      </c>
      <c r="X32" s="44">
        <f t="shared" si="10"/>
        <v>9</v>
      </c>
      <c r="Y32" s="66">
        <f t="shared" si="11"/>
        <v>627.5</v>
      </c>
      <c r="Z32" s="38">
        <f t="shared" si="4"/>
        <v>15</v>
      </c>
      <c r="AA32" s="94">
        <f t="shared" si="5"/>
        <v>6.9722222222222223</v>
      </c>
      <c r="AB32" s="29" t="s">
        <v>41</v>
      </c>
      <c r="AC32" s="30"/>
    </row>
    <row r="33" spans="1:29" s="5" customFormat="1" ht="38.25">
      <c r="A33" s="34"/>
      <c r="B33" s="57" t="s">
        <v>75</v>
      </c>
      <c r="C33" s="52" t="s">
        <v>74</v>
      </c>
      <c r="D33" s="49" t="s">
        <v>128</v>
      </c>
      <c r="E33" s="41">
        <v>60</v>
      </c>
      <c r="F33" s="22">
        <f>960+960+1020+1020+1080</f>
        <v>5040</v>
      </c>
      <c r="G33" s="43">
        <v>0</v>
      </c>
      <c r="H33" s="22">
        <v>0</v>
      </c>
      <c r="I33" s="43">
        <v>12</v>
      </c>
      <c r="J33" s="22">
        <v>1000</v>
      </c>
      <c r="K33" s="22">
        <v>960</v>
      </c>
      <c r="L33" s="44">
        <v>3</v>
      </c>
      <c r="M33" s="22">
        <v>240</v>
      </c>
      <c r="N33" s="38">
        <v>3</v>
      </c>
      <c r="O33" s="22">
        <f>480-240</f>
        <v>240</v>
      </c>
      <c r="P33" s="38">
        <v>3</v>
      </c>
      <c r="Q33" s="22">
        <f>740-480</f>
        <v>260</v>
      </c>
      <c r="R33" s="44"/>
      <c r="S33" s="22"/>
      <c r="T33" s="44">
        <f t="shared" si="7"/>
        <v>9</v>
      </c>
      <c r="U33" s="22">
        <f t="shared" si="8"/>
        <v>740</v>
      </c>
      <c r="V33" s="44">
        <f t="shared" si="9"/>
        <v>75</v>
      </c>
      <c r="W33" s="22">
        <f t="shared" si="6"/>
        <v>77.083333333333343</v>
      </c>
      <c r="X33" s="44">
        <f t="shared" si="10"/>
        <v>9</v>
      </c>
      <c r="Y33" s="22">
        <f t="shared" si="11"/>
        <v>740</v>
      </c>
      <c r="Z33" s="38">
        <f t="shared" si="4"/>
        <v>15</v>
      </c>
      <c r="AA33" s="94">
        <f t="shared" si="5"/>
        <v>14.682539682539684</v>
      </c>
      <c r="AB33" s="29" t="s">
        <v>41</v>
      </c>
      <c r="AC33" s="30"/>
    </row>
    <row r="34" spans="1:29" s="5" customFormat="1" ht="25.5">
      <c r="A34" s="34"/>
      <c r="B34" s="57" t="s">
        <v>20</v>
      </c>
      <c r="C34" s="52" t="s">
        <v>76</v>
      </c>
      <c r="D34" s="49" t="s">
        <v>128</v>
      </c>
      <c r="E34" s="41">
        <v>60</v>
      </c>
      <c r="F34" s="22">
        <f>12740+15000+15000+15500+15500</f>
        <v>73740</v>
      </c>
      <c r="G34" s="43">
        <v>0</v>
      </c>
      <c r="H34" s="22">
        <v>0</v>
      </c>
      <c r="I34" s="43">
        <v>12</v>
      </c>
      <c r="J34" s="22">
        <v>11500</v>
      </c>
      <c r="K34" s="22">
        <f>12740+1000</f>
        <v>13740</v>
      </c>
      <c r="L34" s="44">
        <v>3</v>
      </c>
      <c r="M34" s="22">
        <v>2760</v>
      </c>
      <c r="N34" s="38">
        <v>3</v>
      </c>
      <c r="O34" s="22">
        <f>5572-2760</f>
        <v>2812</v>
      </c>
      <c r="P34" s="38">
        <v>3</v>
      </c>
      <c r="Q34" s="22">
        <f>9084-5572</f>
        <v>3512</v>
      </c>
      <c r="R34" s="44"/>
      <c r="S34" s="22"/>
      <c r="T34" s="44">
        <f t="shared" si="7"/>
        <v>9</v>
      </c>
      <c r="U34" s="22">
        <f t="shared" si="8"/>
        <v>9084</v>
      </c>
      <c r="V34" s="44">
        <f t="shared" si="9"/>
        <v>75</v>
      </c>
      <c r="W34" s="93">
        <f t="shared" si="6"/>
        <v>66.113537117903931</v>
      </c>
      <c r="X34" s="44">
        <f t="shared" si="10"/>
        <v>9</v>
      </c>
      <c r="Y34" s="22">
        <f t="shared" si="11"/>
        <v>9084</v>
      </c>
      <c r="Z34" s="38">
        <f t="shared" si="4"/>
        <v>15</v>
      </c>
      <c r="AA34" s="94">
        <f t="shared" si="5"/>
        <v>12.318958502847844</v>
      </c>
      <c r="AB34" s="29" t="s">
        <v>41</v>
      </c>
      <c r="AC34" s="30"/>
    </row>
    <row r="35" spans="1:29" s="5" customFormat="1" ht="38.25">
      <c r="A35" s="34"/>
      <c r="B35" s="57" t="s">
        <v>77</v>
      </c>
      <c r="C35" s="52" t="s">
        <v>78</v>
      </c>
      <c r="D35" s="49" t="s">
        <v>128</v>
      </c>
      <c r="E35" s="41">
        <v>60</v>
      </c>
      <c r="F35" s="22">
        <f>16980+20000+20000+22000+22000</f>
        <v>100980</v>
      </c>
      <c r="G35" s="43">
        <v>0</v>
      </c>
      <c r="H35" s="22">
        <v>0</v>
      </c>
      <c r="I35" s="43">
        <v>12</v>
      </c>
      <c r="J35" s="22">
        <v>17000</v>
      </c>
      <c r="K35" s="22">
        <f>16980+11820</f>
        <v>28800</v>
      </c>
      <c r="L35" s="44">
        <v>3</v>
      </c>
      <c r="M35" s="22">
        <v>0</v>
      </c>
      <c r="N35" s="38">
        <v>3</v>
      </c>
      <c r="O35" s="22">
        <v>8840</v>
      </c>
      <c r="P35" s="38">
        <v>3</v>
      </c>
      <c r="Q35" s="22">
        <f>20240-8840</f>
        <v>11400</v>
      </c>
      <c r="R35" s="44"/>
      <c r="S35" s="22"/>
      <c r="T35" s="44">
        <f t="shared" si="7"/>
        <v>9</v>
      </c>
      <c r="U35" s="22">
        <f t="shared" si="8"/>
        <v>20240</v>
      </c>
      <c r="V35" s="44">
        <f t="shared" si="9"/>
        <v>75</v>
      </c>
      <c r="W35" s="93">
        <f t="shared" si="6"/>
        <v>70.277777777777771</v>
      </c>
      <c r="X35" s="44">
        <f t="shared" si="10"/>
        <v>9</v>
      </c>
      <c r="Y35" s="22">
        <f t="shared" si="11"/>
        <v>20240</v>
      </c>
      <c r="Z35" s="38">
        <f t="shared" si="4"/>
        <v>15</v>
      </c>
      <c r="AA35" s="94">
        <f t="shared" si="5"/>
        <v>20.043572984749456</v>
      </c>
      <c r="AB35" s="29" t="s">
        <v>41</v>
      </c>
      <c r="AC35" s="30"/>
    </row>
    <row r="36" spans="1:29" s="5" customFormat="1" ht="38.25">
      <c r="A36" s="34"/>
      <c r="B36" s="57" t="s">
        <v>79</v>
      </c>
      <c r="C36" s="52" t="s">
        <v>80</v>
      </c>
      <c r="D36" s="21" t="s">
        <v>128</v>
      </c>
      <c r="E36" s="41">
        <v>60</v>
      </c>
      <c r="F36" s="22">
        <f>5850+6500+7150+7800+8450</f>
        <v>35750</v>
      </c>
      <c r="G36" s="43">
        <v>0</v>
      </c>
      <c r="H36" s="22">
        <v>0</v>
      </c>
      <c r="I36" s="44">
        <v>12</v>
      </c>
      <c r="J36" s="22">
        <v>5400</v>
      </c>
      <c r="K36" s="22">
        <v>5900</v>
      </c>
      <c r="L36" s="44">
        <v>3</v>
      </c>
      <c r="M36" s="22">
        <v>1350</v>
      </c>
      <c r="N36" s="38">
        <v>3</v>
      </c>
      <c r="O36" s="22">
        <f>3150-1350</f>
        <v>1800</v>
      </c>
      <c r="P36" s="38">
        <v>3</v>
      </c>
      <c r="Q36" s="22">
        <f>4500-3150</f>
        <v>1350</v>
      </c>
      <c r="R36" s="44"/>
      <c r="S36" s="22"/>
      <c r="T36" s="44">
        <f t="shared" si="7"/>
        <v>9</v>
      </c>
      <c r="U36" s="22">
        <f t="shared" si="8"/>
        <v>4500</v>
      </c>
      <c r="V36" s="44">
        <f t="shared" si="9"/>
        <v>75</v>
      </c>
      <c r="W36" s="93">
        <f t="shared" si="6"/>
        <v>76.271186440677965</v>
      </c>
      <c r="X36" s="44">
        <f t="shared" si="10"/>
        <v>9</v>
      </c>
      <c r="Y36" s="22">
        <f t="shared" si="11"/>
        <v>4500</v>
      </c>
      <c r="Z36" s="38">
        <f t="shared" si="4"/>
        <v>15</v>
      </c>
      <c r="AA36" s="94">
        <f t="shared" si="5"/>
        <v>12.587412587412588</v>
      </c>
      <c r="AB36" s="29" t="s">
        <v>41</v>
      </c>
      <c r="AC36" s="30"/>
    </row>
    <row r="37" spans="1:29" s="5" customFormat="1" ht="51">
      <c r="A37" s="34"/>
      <c r="B37" s="57" t="s">
        <v>81</v>
      </c>
      <c r="C37" s="52" t="s">
        <v>82</v>
      </c>
      <c r="D37" s="49" t="s">
        <v>128</v>
      </c>
      <c r="E37" s="41">
        <v>60</v>
      </c>
      <c r="F37" s="22">
        <f>1000+1250+1250+1500+1500</f>
        <v>6500</v>
      </c>
      <c r="G37" s="70">
        <v>0</v>
      </c>
      <c r="H37" s="72">
        <v>0</v>
      </c>
      <c r="I37" s="43">
        <v>12</v>
      </c>
      <c r="J37" s="22">
        <v>1000</v>
      </c>
      <c r="K37" s="22">
        <f>1000-1000</f>
        <v>0</v>
      </c>
      <c r="L37" s="44">
        <v>3</v>
      </c>
      <c r="M37" s="22">
        <v>0</v>
      </c>
      <c r="N37" s="38">
        <v>3</v>
      </c>
      <c r="O37" s="22">
        <v>0</v>
      </c>
      <c r="P37" s="38">
        <v>3</v>
      </c>
      <c r="Q37" s="22">
        <v>0</v>
      </c>
      <c r="R37" s="44"/>
      <c r="S37" s="22"/>
      <c r="T37" s="44">
        <f t="shared" si="7"/>
        <v>9</v>
      </c>
      <c r="U37" s="22">
        <f t="shared" si="8"/>
        <v>0</v>
      </c>
      <c r="V37" s="44">
        <f t="shared" si="9"/>
        <v>75</v>
      </c>
      <c r="W37" s="93">
        <v>0</v>
      </c>
      <c r="X37" s="44">
        <f t="shared" si="10"/>
        <v>9</v>
      </c>
      <c r="Y37" s="22">
        <f t="shared" si="11"/>
        <v>0</v>
      </c>
      <c r="Z37" s="38">
        <f t="shared" si="4"/>
        <v>15</v>
      </c>
      <c r="AA37" s="94">
        <f t="shared" si="5"/>
        <v>0</v>
      </c>
      <c r="AB37" s="29" t="s">
        <v>41</v>
      </c>
      <c r="AC37" s="30"/>
    </row>
    <row r="38" spans="1:29" s="5" customFormat="1" ht="25.5">
      <c r="A38" s="34"/>
      <c r="B38" s="58" t="s">
        <v>83</v>
      </c>
      <c r="C38" s="52"/>
      <c r="D38" s="49"/>
      <c r="E38" s="41"/>
      <c r="F38" s="22"/>
      <c r="G38" s="43"/>
      <c r="H38" s="22"/>
      <c r="I38" s="43"/>
      <c r="J38" s="22"/>
      <c r="K38" s="22"/>
      <c r="L38" s="44"/>
      <c r="M38" s="22"/>
      <c r="N38" s="38"/>
      <c r="O38" s="22"/>
      <c r="P38" s="38"/>
      <c r="Q38" s="22"/>
      <c r="R38" s="44"/>
      <c r="S38" s="22"/>
      <c r="T38" s="44"/>
      <c r="U38" s="22"/>
      <c r="V38" s="44"/>
      <c r="W38" s="93"/>
      <c r="X38" s="44"/>
      <c r="Y38" s="22"/>
      <c r="Z38" s="38"/>
      <c r="AA38" s="94"/>
      <c r="AB38" s="29"/>
      <c r="AC38" s="30"/>
    </row>
    <row r="39" spans="1:29" s="5" customFormat="1" ht="38.25">
      <c r="A39" s="34"/>
      <c r="B39" s="56" t="s">
        <v>92</v>
      </c>
      <c r="C39" s="52" t="s">
        <v>84</v>
      </c>
      <c r="D39" s="49" t="s">
        <v>129</v>
      </c>
      <c r="E39" s="41">
        <v>6</v>
      </c>
      <c r="F39" s="22">
        <v>120000</v>
      </c>
      <c r="G39" s="70">
        <v>0</v>
      </c>
      <c r="H39" s="72">
        <v>0</v>
      </c>
      <c r="I39" s="43">
        <v>3</v>
      </c>
      <c r="J39" s="55">
        <v>75000</v>
      </c>
      <c r="K39" s="55">
        <v>59900</v>
      </c>
      <c r="L39" s="44">
        <v>0</v>
      </c>
      <c r="M39" s="22">
        <v>0</v>
      </c>
      <c r="N39" s="38">
        <v>0</v>
      </c>
      <c r="O39" s="22">
        <v>0</v>
      </c>
      <c r="P39" s="38">
        <v>0</v>
      </c>
      <c r="Q39" s="22">
        <v>0</v>
      </c>
      <c r="R39" s="44"/>
      <c r="S39" s="22"/>
      <c r="T39" s="44">
        <f t="shared" si="7"/>
        <v>0</v>
      </c>
      <c r="U39" s="22">
        <f t="shared" si="8"/>
        <v>0</v>
      </c>
      <c r="V39" s="44">
        <f t="shared" si="9"/>
        <v>0</v>
      </c>
      <c r="W39" s="93">
        <f t="shared" si="6"/>
        <v>0</v>
      </c>
      <c r="X39" s="44">
        <f t="shared" si="10"/>
        <v>0</v>
      </c>
      <c r="Y39" s="22">
        <f t="shared" si="11"/>
        <v>0</v>
      </c>
      <c r="Z39" s="38">
        <f t="shared" si="4"/>
        <v>0</v>
      </c>
      <c r="AA39" s="94">
        <f t="shared" si="5"/>
        <v>0</v>
      </c>
      <c r="AB39" s="29" t="s">
        <v>41</v>
      </c>
      <c r="AC39" s="30"/>
    </row>
    <row r="40" spans="1:29" s="5" customFormat="1" ht="38.25">
      <c r="A40" s="34"/>
      <c r="B40" s="56" t="s">
        <v>93</v>
      </c>
      <c r="C40" s="52" t="s">
        <v>84</v>
      </c>
      <c r="D40" s="49" t="s">
        <v>129</v>
      </c>
      <c r="E40" s="41">
        <v>3</v>
      </c>
      <c r="F40" s="55">
        <v>17000</v>
      </c>
      <c r="G40" s="70">
        <v>0</v>
      </c>
      <c r="H40" s="72">
        <v>0</v>
      </c>
      <c r="I40" s="43">
        <v>2</v>
      </c>
      <c r="J40" s="55">
        <v>7000</v>
      </c>
      <c r="K40" s="55">
        <v>7000</v>
      </c>
      <c r="L40" s="44">
        <v>1</v>
      </c>
      <c r="M40" s="22">
        <v>2000</v>
      </c>
      <c r="N40" s="38">
        <v>0</v>
      </c>
      <c r="O40" s="22">
        <v>0</v>
      </c>
      <c r="P40" s="38">
        <v>1</v>
      </c>
      <c r="Q40" s="22">
        <v>5000</v>
      </c>
      <c r="R40" s="44"/>
      <c r="S40" s="22"/>
      <c r="T40" s="44">
        <f t="shared" si="7"/>
        <v>2</v>
      </c>
      <c r="U40" s="22">
        <f t="shared" si="8"/>
        <v>7000</v>
      </c>
      <c r="V40" s="44">
        <f t="shared" si="9"/>
        <v>100</v>
      </c>
      <c r="W40" s="93">
        <f t="shared" si="6"/>
        <v>100</v>
      </c>
      <c r="X40" s="44">
        <f t="shared" si="10"/>
        <v>2</v>
      </c>
      <c r="Y40" s="22">
        <f t="shared" si="11"/>
        <v>7000</v>
      </c>
      <c r="Z40" s="83">
        <f t="shared" si="4"/>
        <v>66.666666666666657</v>
      </c>
      <c r="AA40" s="94">
        <f t="shared" si="5"/>
        <v>41.17647058823529</v>
      </c>
      <c r="AB40" s="29" t="s">
        <v>41</v>
      </c>
      <c r="AC40" s="30"/>
    </row>
    <row r="41" spans="1:29" s="5" customFormat="1" ht="38.25">
      <c r="A41" s="34"/>
      <c r="B41" s="56" t="s">
        <v>21</v>
      </c>
      <c r="C41" s="52" t="s">
        <v>84</v>
      </c>
      <c r="D41" s="49" t="s">
        <v>129</v>
      </c>
      <c r="E41" s="41">
        <v>5</v>
      </c>
      <c r="F41" s="22">
        <f>17500+7500+7500+7500+7500</f>
        <v>47500</v>
      </c>
      <c r="G41" s="70">
        <v>0</v>
      </c>
      <c r="H41" s="72">
        <v>0</v>
      </c>
      <c r="I41" s="43">
        <v>4</v>
      </c>
      <c r="J41" s="22">
        <v>7500</v>
      </c>
      <c r="K41" s="22">
        <v>17500</v>
      </c>
      <c r="L41" s="44">
        <v>3</v>
      </c>
      <c r="M41" s="22">
        <v>14500</v>
      </c>
      <c r="N41" s="38">
        <v>1</v>
      </c>
      <c r="O41" s="22">
        <f>17500-14500</f>
        <v>3000</v>
      </c>
      <c r="P41" s="38">
        <v>0</v>
      </c>
      <c r="Q41" s="22">
        <v>0</v>
      </c>
      <c r="R41" s="44"/>
      <c r="S41" s="22"/>
      <c r="T41" s="44">
        <f t="shared" si="7"/>
        <v>4</v>
      </c>
      <c r="U41" s="22">
        <f t="shared" si="8"/>
        <v>17500</v>
      </c>
      <c r="V41" s="44">
        <f t="shared" si="9"/>
        <v>100</v>
      </c>
      <c r="W41" s="93">
        <f t="shared" si="6"/>
        <v>100</v>
      </c>
      <c r="X41" s="44">
        <f t="shared" si="10"/>
        <v>4</v>
      </c>
      <c r="Y41" s="22">
        <f t="shared" si="11"/>
        <v>17500</v>
      </c>
      <c r="Z41" s="38">
        <f t="shared" si="4"/>
        <v>80</v>
      </c>
      <c r="AA41" s="94">
        <f t="shared" si="5"/>
        <v>36.84210526315789</v>
      </c>
      <c r="AB41" s="29" t="s">
        <v>41</v>
      </c>
      <c r="AC41" s="30"/>
    </row>
    <row r="42" spans="1:29" s="5" customFormat="1" ht="38.25">
      <c r="A42" s="34"/>
      <c r="B42" s="56" t="s">
        <v>85</v>
      </c>
      <c r="C42" s="52" t="s">
        <v>84</v>
      </c>
      <c r="D42" s="49" t="s">
        <v>128</v>
      </c>
      <c r="E42" s="41">
        <v>60</v>
      </c>
      <c r="F42" s="22">
        <v>53000</v>
      </c>
      <c r="G42" s="43">
        <v>0</v>
      </c>
      <c r="H42" s="22">
        <v>0</v>
      </c>
      <c r="I42" s="44">
        <v>12</v>
      </c>
      <c r="J42" s="22">
        <v>2000</v>
      </c>
      <c r="K42" s="22">
        <v>2000</v>
      </c>
      <c r="L42" s="44">
        <v>3</v>
      </c>
      <c r="M42" s="22">
        <v>0</v>
      </c>
      <c r="N42" s="38">
        <v>3</v>
      </c>
      <c r="O42" s="22">
        <v>2000</v>
      </c>
      <c r="P42" s="38">
        <v>3</v>
      </c>
      <c r="Q42" s="22">
        <v>0</v>
      </c>
      <c r="R42" s="44"/>
      <c r="S42" s="22"/>
      <c r="T42" s="44">
        <f t="shared" si="7"/>
        <v>9</v>
      </c>
      <c r="U42" s="22">
        <f t="shared" si="8"/>
        <v>2000</v>
      </c>
      <c r="V42" s="44">
        <f t="shared" si="9"/>
        <v>75</v>
      </c>
      <c r="W42" s="93">
        <f t="shared" si="6"/>
        <v>100</v>
      </c>
      <c r="X42" s="44">
        <f t="shared" si="10"/>
        <v>9</v>
      </c>
      <c r="Y42" s="22">
        <f t="shared" si="11"/>
        <v>2000</v>
      </c>
      <c r="Z42" s="38">
        <f t="shared" si="4"/>
        <v>15</v>
      </c>
      <c r="AA42" s="94">
        <f t="shared" si="5"/>
        <v>3.7735849056603774</v>
      </c>
      <c r="AB42" s="29" t="s">
        <v>41</v>
      </c>
      <c r="AC42" s="30"/>
    </row>
    <row r="43" spans="1:29" s="5" customFormat="1" ht="25.5">
      <c r="A43" s="34"/>
      <c r="B43" s="56" t="s">
        <v>86</v>
      </c>
      <c r="C43" s="52" t="s">
        <v>87</v>
      </c>
      <c r="D43" s="49" t="s">
        <v>128</v>
      </c>
      <c r="E43" s="41">
        <v>60</v>
      </c>
      <c r="F43" s="22">
        <v>112000</v>
      </c>
      <c r="G43" s="43">
        <v>0</v>
      </c>
      <c r="H43" s="22">
        <v>0</v>
      </c>
      <c r="I43" s="44">
        <v>12</v>
      </c>
      <c r="J43" s="22">
        <v>40000</v>
      </c>
      <c r="K43" s="22">
        <v>37000</v>
      </c>
      <c r="L43" s="44">
        <v>3</v>
      </c>
      <c r="M43" s="22">
        <v>17800</v>
      </c>
      <c r="N43" s="38">
        <v>3</v>
      </c>
      <c r="O43" s="22">
        <f>37000-17800</f>
        <v>19200</v>
      </c>
      <c r="P43" s="38">
        <v>3</v>
      </c>
      <c r="Q43" s="22">
        <v>0</v>
      </c>
      <c r="R43" s="44"/>
      <c r="S43" s="22"/>
      <c r="T43" s="44">
        <f t="shared" si="7"/>
        <v>9</v>
      </c>
      <c r="U43" s="22">
        <f t="shared" si="8"/>
        <v>37000</v>
      </c>
      <c r="V43" s="44">
        <f t="shared" si="9"/>
        <v>75</v>
      </c>
      <c r="W43" s="93">
        <f t="shared" si="6"/>
        <v>100</v>
      </c>
      <c r="X43" s="44">
        <f t="shared" si="10"/>
        <v>9</v>
      </c>
      <c r="Y43" s="22">
        <f t="shared" si="11"/>
        <v>37000</v>
      </c>
      <c r="Z43" s="38">
        <f t="shared" si="4"/>
        <v>15</v>
      </c>
      <c r="AA43" s="94">
        <f t="shared" si="5"/>
        <v>33.035714285714285</v>
      </c>
      <c r="AB43" s="29" t="s">
        <v>41</v>
      </c>
      <c r="AC43" s="30"/>
    </row>
    <row r="44" spans="1:29" s="5" customFormat="1" ht="25.5">
      <c r="A44" s="34"/>
      <c r="B44" s="56" t="s">
        <v>88</v>
      </c>
      <c r="C44" s="52" t="s">
        <v>89</v>
      </c>
      <c r="D44" s="49" t="s">
        <v>128</v>
      </c>
      <c r="E44" s="41">
        <v>60</v>
      </c>
      <c r="F44" s="22">
        <f>23000+24000+26000+28000+30000</f>
        <v>131000</v>
      </c>
      <c r="G44" s="43">
        <v>0</v>
      </c>
      <c r="H44" s="22">
        <v>0</v>
      </c>
      <c r="I44" s="44">
        <v>12</v>
      </c>
      <c r="J44" s="22">
        <v>30000</v>
      </c>
      <c r="K44" s="22">
        <v>23000</v>
      </c>
      <c r="L44" s="44">
        <v>3</v>
      </c>
      <c r="M44" s="22">
        <v>4500</v>
      </c>
      <c r="N44" s="38">
        <v>3</v>
      </c>
      <c r="O44" s="22">
        <f>9000-4500</f>
        <v>4500</v>
      </c>
      <c r="P44" s="38">
        <v>3</v>
      </c>
      <c r="Q44" s="22">
        <f>16030-9000</f>
        <v>7030</v>
      </c>
      <c r="R44" s="44"/>
      <c r="S44" s="22"/>
      <c r="T44" s="44">
        <f t="shared" si="7"/>
        <v>9</v>
      </c>
      <c r="U44" s="22">
        <f t="shared" si="8"/>
        <v>16030</v>
      </c>
      <c r="V44" s="44">
        <f t="shared" si="9"/>
        <v>75</v>
      </c>
      <c r="W44" s="93">
        <f t="shared" si="6"/>
        <v>69.695652173913047</v>
      </c>
      <c r="X44" s="44">
        <f t="shared" si="10"/>
        <v>9</v>
      </c>
      <c r="Y44" s="22">
        <f t="shared" si="11"/>
        <v>16030</v>
      </c>
      <c r="Z44" s="38">
        <f t="shared" si="4"/>
        <v>15</v>
      </c>
      <c r="AA44" s="94">
        <f t="shared" si="5"/>
        <v>12.236641221374047</v>
      </c>
      <c r="AB44" s="29" t="s">
        <v>41</v>
      </c>
      <c r="AC44" s="30"/>
    </row>
    <row r="45" spans="1:29" s="5" customFormat="1" ht="25.5">
      <c r="A45" s="34"/>
      <c r="B45" s="56" t="s">
        <v>90</v>
      </c>
      <c r="C45" s="52" t="s">
        <v>89</v>
      </c>
      <c r="D45" s="49" t="s">
        <v>128</v>
      </c>
      <c r="E45" s="41">
        <v>60</v>
      </c>
      <c r="F45" s="22">
        <v>7500</v>
      </c>
      <c r="G45" s="43">
        <v>0</v>
      </c>
      <c r="H45" s="22">
        <v>0</v>
      </c>
      <c r="I45" s="44">
        <v>12</v>
      </c>
      <c r="J45" s="22">
        <v>1500</v>
      </c>
      <c r="K45" s="22">
        <v>1500</v>
      </c>
      <c r="L45" s="44">
        <v>3</v>
      </c>
      <c r="M45" s="22">
        <v>0</v>
      </c>
      <c r="N45" s="38">
        <v>3</v>
      </c>
      <c r="O45" s="22">
        <v>0</v>
      </c>
      <c r="P45" s="38">
        <v>3</v>
      </c>
      <c r="Q45" s="22">
        <v>770</v>
      </c>
      <c r="R45" s="44"/>
      <c r="S45" s="22"/>
      <c r="T45" s="44">
        <f t="shared" si="7"/>
        <v>9</v>
      </c>
      <c r="U45" s="22">
        <f t="shared" si="8"/>
        <v>770</v>
      </c>
      <c r="V45" s="44">
        <f t="shared" si="9"/>
        <v>75</v>
      </c>
      <c r="W45" s="93">
        <f t="shared" si="6"/>
        <v>51.333333333333329</v>
      </c>
      <c r="X45" s="44">
        <f t="shared" si="10"/>
        <v>9</v>
      </c>
      <c r="Y45" s="22">
        <f t="shared" si="11"/>
        <v>770</v>
      </c>
      <c r="Z45" s="38">
        <f t="shared" si="4"/>
        <v>15</v>
      </c>
      <c r="AA45" s="94">
        <f t="shared" si="5"/>
        <v>10.266666666666667</v>
      </c>
      <c r="AB45" s="29" t="s">
        <v>41</v>
      </c>
      <c r="AC45" s="30"/>
    </row>
    <row r="46" spans="1:29" s="5" customFormat="1" ht="25.5">
      <c r="A46" s="34"/>
      <c r="B46" s="56" t="s">
        <v>91</v>
      </c>
      <c r="C46" s="52" t="s">
        <v>89</v>
      </c>
      <c r="D46" s="49" t="s">
        <v>128</v>
      </c>
      <c r="E46" s="41">
        <v>60</v>
      </c>
      <c r="F46" s="22">
        <v>15000</v>
      </c>
      <c r="G46" s="43">
        <v>0</v>
      </c>
      <c r="H46" s="22">
        <v>0</v>
      </c>
      <c r="I46" s="44">
        <v>12</v>
      </c>
      <c r="J46" s="22">
        <v>3000</v>
      </c>
      <c r="K46" s="22">
        <v>3000</v>
      </c>
      <c r="L46" s="44">
        <v>3</v>
      </c>
      <c r="M46" s="22">
        <v>920</v>
      </c>
      <c r="N46" s="38">
        <v>3</v>
      </c>
      <c r="O46" s="22">
        <f>1545-920</f>
        <v>625</v>
      </c>
      <c r="P46" s="38">
        <v>3</v>
      </c>
      <c r="Q46" s="22">
        <f>2015-1545</f>
        <v>470</v>
      </c>
      <c r="R46" s="44"/>
      <c r="S46" s="22"/>
      <c r="T46" s="44">
        <f t="shared" si="7"/>
        <v>9</v>
      </c>
      <c r="U46" s="22">
        <f t="shared" si="8"/>
        <v>2015</v>
      </c>
      <c r="V46" s="44">
        <f t="shared" si="9"/>
        <v>75</v>
      </c>
      <c r="W46" s="93">
        <f t="shared" si="6"/>
        <v>67.166666666666657</v>
      </c>
      <c r="X46" s="44">
        <f t="shared" si="10"/>
        <v>9</v>
      </c>
      <c r="Y46" s="22">
        <f t="shared" si="11"/>
        <v>2015</v>
      </c>
      <c r="Z46" s="38">
        <f t="shared" si="4"/>
        <v>15</v>
      </c>
      <c r="AA46" s="94">
        <f t="shared" si="5"/>
        <v>13.433333333333334</v>
      </c>
      <c r="AB46" s="29" t="s">
        <v>41</v>
      </c>
      <c r="AC46" s="30"/>
    </row>
    <row r="47" spans="1:29" s="5" customFormat="1" ht="25.5">
      <c r="A47" s="34"/>
      <c r="B47" s="58" t="s">
        <v>94</v>
      </c>
      <c r="C47" s="52"/>
      <c r="D47" s="49"/>
      <c r="E47" s="41"/>
      <c r="F47" s="55"/>
      <c r="G47" s="43"/>
      <c r="H47" s="22"/>
      <c r="I47" s="43"/>
      <c r="J47" s="55"/>
      <c r="K47" s="55"/>
      <c r="L47" s="44"/>
      <c r="M47" s="22"/>
      <c r="N47" s="38"/>
      <c r="O47" s="22"/>
      <c r="P47" s="38"/>
      <c r="Q47" s="22"/>
      <c r="R47" s="44"/>
      <c r="S47" s="22"/>
      <c r="T47" s="44"/>
      <c r="U47" s="22"/>
      <c r="V47" s="44"/>
      <c r="W47" s="93"/>
      <c r="X47" s="44"/>
      <c r="Y47" s="22"/>
      <c r="Z47" s="38"/>
      <c r="AA47" s="94"/>
      <c r="AB47" s="22"/>
      <c r="AC47" s="30"/>
    </row>
    <row r="48" spans="1:29" s="5" customFormat="1" ht="25.5">
      <c r="A48" s="34"/>
      <c r="B48" s="56" t="s">
        <v>95</v>
      </c>
      <c r="C48" s="52" t="s">
        <v>96</v>
      </c>
      <c r="D48" s="49" t="s">
        <v>130</v>
      </c>
      <c r="E48" s="41">
        <v>60</v>
      </c>
      <c r="F48" s="22">
        <v>14000</v>
      </c>
      <c r="G48" s="70">
        <v>0</v>
      </c>
      <c r="H48" s="72">
        <v>0</v>
      </c>
      <c r="I48" s="43">
        <v>20</v>
      </c>
      <c r="J48" s="55">
        <v>5000</v>
      </c>
      <c r="K48" s="55">
        <v>4000</v>
      </c>
      <c r="L48" s="44">
        <v>16</v>
      </c>
      <c r="M48" s="22">
        <v>3200</v>
      </c>
      <c r="N48" s="38">
        <v>0</v>
      </c>
      <c r="O48" s="22">
        <v>0</v>
      </c>
      <c r="P48" s="38">
        <v>0</v>
      </c>
      <c r="Q48" s="22">
        <v>0</v>
      </c>
      <c r="R48" s="44"/>
      <c r="S48" s="22"/>
      <c r="T48" s="44">
        <f t="shared" si="7"/>
        <v>16</v>
      </c>
      <c r="U48" s="22">
        <f t="shared" si="8"/>
        <v>3200</v>
      </c>
      <c r="V48" s="44">
        <f t="shared" si="9"/>
        <v>80</v>
      </c>
      <c r="W48" s="22">
        <f t="shared" si="6"/>
        <v>80</v>
      </c>
      <c r="X48" s="44">
        <f t="shared" si="10"/>
        <v>16</v>
      </c>
      <c r="Y48" s="22">
        <f t="shared" si="11"/>
        <v>3200</v>
      </c>
      <c r="Z48" s="83">
        <f t="shared" si="4"/>
        <v>26.666666666666668</v>
      </c>
      <c r="AA48" s="94">
        <f t="shared" si="5"/>
        <v>22.857142857142858</v>
      </c>
      <c r="AB48" s="29" t="s">
        <v>41</v>
      </c>
      <c r="AC48" s="30"/>
    </row>
    <row r="49" spans="1:29" s="5" customFormat="1" ht="38.25">
      <c r="A49" s="34"/>
      <c r="B49" s="2" t="s">
        <v>99</v>
      </c>
      <c r="C49" s="3"/>
      <c r="D49" s="49"/>
      <c r="E49" s="41"/>
      <c r="F49" s="22"/>
      <c r="G49" s="43"/>
      <c r="H49" s="22"/>
      <c r="I49" s="44"/>
      <c r="J49" s="22"/>
      <c r="K49" s="22"/>
      <c r="L49" s="44"/>
      <c r="M49" s="22"/>
      <c r="N49" s="38"/>
      <c r="O49" s="22"/>
      <c r="P49" s="38"/>
      <c r="Q49" s="22"/>
      <c r="R49" s="44"/>
      <c r="S49" s="22"/>
      <c r="T49" s="44"/>
      <c r="U49" s="22"/>
      <c r="V49" s="44"/>
      <c r="W49" s="93"/>
      <c r="X49" s="44"/>
      <c r="Y49" s="22"/>
      <c r="Z49" s="38"/>
      <c r="AA49" s="94"/>
      <c r="AB49" s="22"/>
      <c r="AC49" s="30"/>
    </row>
    <row r="50" spans="1:29" s="5" customFormat="1" ht="38.25">
      <c r="A50" s="34"/>
      <c r="B50" s="56" t="s">
        <v>97</v>
      </c>
      <c r="C50" s="52" t="s">
        <v>98</v>
      </c>
      <c r="D50" s="49" t="s">
        <v>128</v>
      </c>
      <c r="E50" s="41">
        <v>60</v>
      </c>
      <c r="F50" s="22">
        <f>16165+(16500*4)</f>
        <v>82165</v>
      </c>
      <c r="G50" s="43">
        <v>0</v>
      </c>
      <c r="H50" s="22">
        <v>0</v>
      </c>
      <c r="I50" s="44">
        <v>12</v>
      </c>
      <c r="J50" s="22">
        <v>16165</v>
      </c>
      <c r="K50" s="66">
        <f>16165+8127.5</f>
        <v>24292.5</v>
      </c>
      <c r="L50" s="44">
        <v>3</v>
      </c>
      <c r="M50" s="22">
        <v>0</v>
      </c>
      <c r="N50" s="38">
        <v>3</v>
      </c>
      <c r="O50" s="22">
        <v>0</v>
      </c>
      <c r="P50" s="38">
        <v>3</v>
      </c>
      <c r="Q50" s="65">
        <v>7406.65</v>
      </c>
      <c r="R50" s="44"/>
      <c r="S50" s="22"/>
      <c r="T50" s="44">
        <f t="shared" si="7"/>
        <v>9</v>
      </c>
      <c r="U50" s="65">
        <f t="shared" si="8"/>
        <v>7406.65</v>
      </c>
      <c r="V50" s="44">
        <f t="shared" si="9"/>
        <v>75</v>
      </c>
      <c r="W50" s="93">
        <f t="shared" si="6"/>
        <v>30.489451476793249</v>
      </c>
      <c r="X50" s="44">
        <f t="shared" si="10"/>
        <v>9</v>
      </c>
      <c r="Y50" s="22">
        <f t="shared" si="11"/>
        <v>7406.65</v>
      </c>
      <c r="Z50" s="38">
        <f t="shared" si="4"/>
        <v>15</v>
      </c>
      <c r="AA50" s="94">
        <f t="shared" si="5"/>
        <v>9.0143613460719276</v>
      </c>
      <c r="AB50" s="29" t="s">
        <v>41</v>
      </c>
      <c r="AC50" s="30"/>
    </row>
    <row r="51" spans="1:29" s="5" customFormat="1" ht="38.25">
      <c r="A51" s="34"/>
      <c r="B51" s="2" t="s">
        <v>25</v>
      </c>
      <c r="C51" s="3"/>
      <c r="D51" s="49"/>
      <c r="E51" s="41"/>
      <c r="F51" s="22"/>
      <c r="G51" s="43"/>
      <c r="H51" s="22"/>
      <c r="I51" s="44"/>
      <c r="J51" s="22"/>
      <c r="K51" s="22"/>
      <c r="L51" s="44"/>
      <c r="M51" s="22"/>
      <c r="N51" s="38"/>
      <c r="O51" s="22"/>
      <c r="P51" s="38"/>
      <c r="Q51" s="22"/>
      <c r="R51" s="44"/>
      <c r="S51" s="22"/>
      <c r="T51" s="44"/>
      <c r="U51" s="22"/>
      <c r="V51" s="44"/>
      <c r="W51" s="93"/>
      <c r="X51" s="44"/>
      <c r="Y51" s="22"/>
      <c r="Z51" s="38"/>
      <c r="AA51" s="94"/>
      <c r="AB51" s="22"/>
      <c r="AC51" s="30"/>
    </row>
    <row r="52" spans="1:29" s="5" customFormat="1" ht="38.25">
      <c r="A52" s="34"/>
      <c r="B52" s="56" t="s">
        <v>100</v>
      </c>
      <c r="C52" s="52" t="s">
        <v>101</v>
      </c>
      <c r="D52" s="49" t="s">
        <v>128</v>
      </c>
      <c r="E52" s="41">
        <v>60</v>
      </c>
      <c r="F52" s="22">
        <v>12500</v>
      </c>
      <c r="G52" s="43">
        <v>0</v>
      </c>
      <c r="H52" s="22">
        <v>0</v>
      </c>
      <c r="I52" s="44">
        <v>12</v>
      </c>
      <c r="J52" s="22">
        <v>2500</v>
      </c>
      <c r="K52" s="22">
        <v>2500</v>
      </c>
      <c r="L52" s="44">
        <v>3</v>
      </c>
      <c r="M52" s="22">
        <v>300</v>
      </c>
      <c r="N52" s="38">
        <v>3</v>
      </c>
      <c r="O52" s="22">
        <v>0</v>
      </c>
      <c r="P52" s="38">
        <v>3</v>
      </c>
      <c r="Q52" s="22">
        <f>2200-300</f>
        <v>1900</v>
      </c>
      <c r="R52" s="44"/>
      <c r="S52" s="22"/>
      <c r="T52" s="44">
        <f t="shared" si="7"/>
        <v>9</v>
      </c>
      <c r="U52" s="22">
        <f t="shared" si="8"/>
        <v>2200</v>
      </c>
      <c r="V52" s="44">
        <f t="shared" si="9"/>
        <v>75</v>
      </c>
      <c r="W52" s="22">
        <f t="shared" si="6"/>
        <v>88</v>
      </c>
      <c r="X52" s="44">
        <f t="shared" si="10"/>
        <v>9</v>
      </c>
      <c r="Y52" s="22">
        <f t="shared" si="11"/>
        <v>2200</v>
      </c>
      <c r="Z52" s="38">
        <f t="shared" si="4"/>
        <v>15</v>
      </c>
      <c r="AA52" s="94">
        <f t="shared" si="5"/>
        <v>17.599999999999998</v>
      </c>
      <c r="AB52" s="29" t="s">
        <v>41</v>
      </c>
      <c r="AC52" s="30"/>
    </row>
    <row r="53" spans="1:29" s="5" customFormat="1" ht="25.5">
      <c r="A53" s="34"/>
      <c r="B53" s="56" t="s">
        <v>26</v>
      </c>
      <c r="C53" s="52" t="s">
        <v>102</v>
      </c>
      <c r="D53" s="49" t="s">
        <v>128</v>
      </c>
      <c r="E53" s="41">
        <v>60</v>
      </c>
      <c r="F53" s="22">
        <v>27000</v>
      </c>
      <c r="G53" s="43">
        <v>0</v>
      </c>
      <c r="H53" s="22">
        <v>0</v>
      </c>
      <c r="I53" s="44">
        <v>12</v>
      </c>
      <c r="J53" s="55">
        <v>5000</v>
      </c>
      <c r="K53" s="55">
        <v>5000</v>
      </c>
      <c r="L53" s="44">
        <v>3</v>
      </c>
      <c r="M53" s="66">
        <v>412.5</v>
      </c>
      <c r="N53" s="38">
        <v>3</v>
      </c>
      <c r="O53" s="66">
        <f>825-412.5</f>
        <v>412.5</v>
      </c>
      <c r="P53" s="38">
        <v>3</v>
      </c>
      <c r="Q53" s="22">
        <f>4575-825</f>
        <v>3750</v>
      </c>
      <c r="R53" s="44"/>
      <c r="S53" s="22"/>
      <c r="T53" s="44">
        <f t="shared" si="7"/>
        <v>9</v>
      </c>
      <c r="U53" s="66">
        <f t="shared" si="8"/>
        <v>4575</v>
      </c>
      <c r="V53" s="44">
        <f t="shared" si="9"/>
        <v>75</v>
      </c>
      <c r="W53" s="93">
        <f t="shared" si="6"/>
        <v>91.5</v>
      </c>
      <c r="X53" s="44">
        <f t="shared" si="10"/>
        <v>9</v>
      </c>
      <c r="Y53" s="66">
        <f t="shared" si="11"/>
        <v>4575</v>
      </c>
      <c r="Z53" s="38">
        <f t="shared" si="4"/>
        <v>15</v>
      </c>
      <c r="AA53" s="94">
        <f t="shared" si="5"/>
        <v>16.944444444444446</v>
      </c>
      <c r="AB53" s="29" t="s">
        <v>41</v>
      </c>
      <c r="AC53" s="30"/>
    </row>
    <row r="54" spans="1:29" s="5" customFormat="1" ht="51">
      <c r="A54" s="34"/>
      <c r="B54" s="59" t="s">
        <v>104</v>
      </c>
      <c r="C54" s="52"/>
      <c r="D54" s="49"/>
      <c r="E54" s="41"/>
      <c r="F54" s="22"/>
      <c r="G54" s="43"/>
      <c r="H54" s="22"/>
      <c r="I54" s="44"/>
      <c r="J54" s="55"/>
      <c r="K54" s="55"/>
      <c r="L54" s="44"/>
      <c r="M54" s="22"/>
      <c r="N54" s="38"/>
      <c r="O54" s="22"/>
      <c r="P54" s="38"/>
      <c r="Q54" s="22"/>
      <c r="R54" s="44"/>
      <c r="S54" s="22"/>
      <c r="T54" s="44"/>
      <c r="U54" s="22"/>
      <c r="V54" s="44"/>
      <c r="W54" s="93"/>
      <c r="X54" s="44"/>
      <c r="Y54" s="22"/>
      <c r="Z54" s="38"/>
      <c r="AA54" s="94"/>
      <c r="AB54" s="29"/>
      <c r="AC54" s="30"/>
    </row>
    <row r="55" spans="1:29" s="5" customFormat="1" ht="38.25">
      <c r="A55" s="34"/>
      <c r="B55" s="57" t="s">
        <v>103</v>
      </c>
      <c r="C55" s="52" t="s">
        <v>84</v>
      </c>
      <c r="D55" s="49" t="s">
        <v>128</v>
      </c>
      <c r="E55" s="41">
        <v>60</v>
      </c>
      <c r="F55" s="22">
        <v>12500</v>
      </c>
      <c r="G55" s="70">
        <v>0</v>
      </c>
      <c r="H55" s="72">
        <v>0</v>
      </c>
      <c r="I55" s="44">
        <v>12</v>
      </c>
      <c r="J55" s="55">
        <v>2500</v>
      </c>
      <c r="K55" s="55">
        <v>2485</v>
      </c>
      <c r="L55" s="44">
        <v>3</v>
      </c>
      <c r="M55" s="22">
        <v>250</v>
      </c>
      <c r="N55" s="38">
        <v>3</v>
      </c>
      <c r="O55" s="22">
        <v>0</v>
      </c>
      <c r="P55" s="38">
        <v>3</v>
      </c>
      <c r="Q55" s="22">
        <f>1315-250</f>
        <v>1065</v>
      </c>
      <c r="R55" s="44"/>
      <c r="S55" s="22"/>
      <c r="T55" s="44">
        <f t="shared" si="7"/>
        <v>9</v>
      </c>
      <c r="U55" s="22">
        <f t="shared" si="8"/>
        <v>1315</v>
      </c>
      <c r="V55" s="44">
        <f t="shared" si="9"/>
        <v>75</v>
      </c>
      <c r="W55" s="93">
        <f t="shared" si="6"/>
        <v>52.91750503018109</v>
      </c>
      <c r="X55" s="44">
        <f t="shared" si="10"/>
        <v>9</v>
      </c>
      <c r="Y55" s="22">
        <f t="shared" si="11"/>
        <v>1315</v>
      </c>
      <c r="Z55" s="38">
        <f t="shared" si="4"/>
        <v>15</v>
      </c>
      <c r="AA55" s="94">
        <f t="shared" si="5"/>
        <v>10.52</v>
      </c>
      <c r="AB55" s="29" t="s">
        <v>41</v>
      </c>
      <c r="AC55" s="30"/>
    </row>
    <row r="56" spans="1:29" s="5" customFormat="1" ht="38.25">
      <c r="A56" s="34"/>
      <c r="B56" s="2" t="s">
        <v>27</v>
      </c>
      <c r="C56" s="3"/>
      <c r="D56" s="49"/>
      <c r="E56" s="41"/>
      <c r="F56" s="22"/>
      <c r="G56" s="43"/>
      <c r="H56" s="22"/>
      <c r="I56" s="44"/>
      <c r="J56" s="22"/>
      <c r="K56" s="22"/>
      <c r="L56" s="44"/>
      <c r="M56" s="22"/>
      <c r="N56" s="38"/>
      <c r="O56" s="22"/>
      <c r="P56" s="38"/>
      <c r="Q56" s="22"/>
      <c r="R56" s="44"/>
      <c r="S56" s="22"/>
      <c r="T56" s="44"/>
      <c r="U56" s="22"/>
      <c r="V56" s="44"/>
      <c r="W56" s="93"/>
      <c r="X56" s="44"/>
      <c r="Y56" s="22"/>
      <c r="Z56" s="38"/>
      <c r="AA56" s="94"/>
      <c r="AB56" s="22"/>
      <c r="AC56" s="30"/>
    </row>
    <row r="57" spans="1:29" s="5" customFormat="1" ht="38.25">
      <c r="A57" s="34"/>
      <c r="B57" s="56" t="s">
        <v>105</v>
      </c>
      <c r="C57" s="52" t="s">
        <v>106</v>
      </c>
      <c r="D57" s="49" t="s">
        <v>128</v>
      </c>
      <c r="E57" s="41">
        <v>60</v>
      </c>
      <c r="F57" s="22">
        <v>10000</v>
      </c>
      <c r="G57" s="43">
        <v>0</v>
      </c>
      <c r="H57" s="22">
        <v>0</v>
      </c>
      <c r="I57" s="44">
        <v>12</v>
      </c>
      <c r="J57" s="22">
        <v>2000</v>
      </c>
      <c r="K57" s="22">
        <v>1940</v>
      </c>
      <c r="L57" s="44">
        <v>3</v>
      </c>
      <c r="M57" s="22">
        <v>550</v>
      </c>
      <c r="N57" s="38">
        <v>3</v>
      </c>
      <c r="O57" s="22">
        <v>0</v>
      </c>
      <c r="P57" s="38">
        <v>3</v>
      </c>
      <c r="Q57" s="22">
        <f>1390-550</f>
        <v>840</v>
      </c>
      <c r="R57" s="44"/>
      <c r="S57" s="22"/>
      <c r="T57" s="44">
        <f t="shared" si="7"/>
        <v>9</v>
      </c>
      <c r="U57" s="22">
        <f t="shared" si="8"/>
        <v>1390</v>
      </c>
      <c r="V57" s="44">
        <f t="shared" si="9"/>
        <v>75</v>
      </c>
      <c r="W57" s="93">
        <f t="shared" si="6"/>
        <v>71.649484536082468</v>
      </c>
      <c r="X57" s="44">
        <f t="shared" si="10"/>
        <v>9</v>
      </c>
      <c r="Y57" s="22">
        <f t="shared" si="11"/>
        <v>1390</v>
      </c>
      <c r="Z57" s="38">
        <f t="shared" si="4"/>
        <v>15</v>
      </c>
      <c r="AA57" s="94">
        <f t="shared" si="5"/>
        <v>13.900000000000002</v>
      </c>
      <c r="AB57" s="29" t="s">
        <v>41</v>
      </c>
      <c r="AC57" s="30"/>
    </row>
    <row r="58" spans="1:29" s="5" customFormat="1" ht="38.25">
      <c r="A58" s="34"/>
      <c r="B58" s="56" t="s">
        <v>107</v>
      </c>
      <c r="C58" s="52" t="s">
        <v>106</v>
      </c>
      <c r="D58" s="49" t="s">
        <v>128</v>
      </c>
      <c r="E58" s="41">
        <v>60</v>
      </c>
      <c r="F58" s="22">
        <v>24500</v>
      </c>
      <c r="G58" s="43">
        <v>0</v>
      </c>
      <c r="H58" s="22">
        <v>0</v>
      </c>
      <c r="I58" s="44">
        <v>12</v>
      </c>
      <c r="J58" s="22">
        <v>4500</v>
      </c>
      <c r="K58" s="22">
        <v>4500</v>
      </c>
      <c r="L58" s="44">
        <v>3</v>
      </c>
      <c r="M58" s="22">
        <v>1430</v>
      </c>
      <c r="N58" s="38">
        <v>3</v>
      </c>
      <c r="O58" s="22">
        <f>2420-1430</f>
        <v>990</v>
      </c>
      <c r="P58" s="38">
        <v>3</v>
      </c>
      <c r="Q58" s="22">
        <f>3080-2420</f>
        <v>660</v>
      </c>
      <c r="R58" s="44"/>
      <c r="S58" s="22"/>
      <c r="T58" s="44">
        <f>L58+N58+P58+R58</f>
        <v>9</v>
      </c>
      <c r="U58" s="22">
        <f>M58+O58+Q58+S58</f>
        <v>3080</v>
      </c>
      <c r="V58" s="44">
        <f t="shared" si="9"/>
        <v>75</v>
      </c>
      <c r="W58" s="93">
        <f t="shared" si="6"/>
        <v>68.444444444444443</v>
      </c>
      <c r="X58" s="44">
        <f t="shared" si="10"/>
        <v>9</v>
      </c>
      <c r="Y58" s="22">
        <f t="shared" si="11"/>
        <v>3080</v>
      </c>
      <c r="Z58" s="38">
        <f t="shared" si="4"/>
        <v>15</v>
      </c>
      <c r="AA58" s="94">
        <f t="shared" si="5"/>
        <v>12.571428571428573</v>
      </c>
      <c r="AB58" s="29" t="s">
        <v>41</v>
      </c>
      <c r="AC58" s="30"/>
    </row>
    <row r="59" spans="1:29" s="5" customFormat="1" ht="38.25">
      <c r="A59" s="34"/>
      <c r="B59" s="58" t="s">
        <v>108</v>
      </c>
      <c r="C59" s="52"/>
      <c r="D59" s="49"/>
      <c r="E59" s="41"/>
      <c r="F59" s="22"/>
      <c r="G59" s="43"/>
      <c r="H59" s="22"/>
      <c r="I59" s="44"/>
      <c r="J59" s="22"/>
      <c r="K59" s="22"/>
      <c r="L59" s="44"/>
      <c r="M59" s="22"/>
      <c r="N59" s="38"/>
      <c r="O59" s="22"/>
      <c r="P59" s="38"/>
      <c r="Q59" s="22"/>
      <c r="R59" s="44"/>
      <c r="S59" s="22"/>
      <c r="T59" s="44"/>
      <c r="U59" s="22"/>
      <c r="V59" s="44"/>
      <c r="W59" s="93"/>
      <c r="X59" s="44"/>
      <c r="Y59" s="22"/>
      <c r="Z59" s="38"/>
      <c r="AA59" s="94"/>
      <c r="AB59" s="29"/>
      <c r="AC59" s="30"/>
    </row>
    <row r="60" spans="1:29" s="5" customFormat="1" ht="25.5">
      <c r="A60" s="34"/>
      <c r="B60" s="56" t="s">
        <v>110</v>
      </c>
      <c r="C60" s="52" t="s">
        <v>109</v>
      </c>
      <c r="D60" s="49" t="s">
        <v>128</v>
      </c>
      <c r="E60" s="41">
        <v>60</v>
      </c>
      <c r="F60" s="22">
        <v>15000</v>
      </c>
      <c r="G60" s="70">
        <v>0</v>
      </c>
      <c r="H60" s="72">
        <v>0</v>
      </c>
      <c r="I60" s="44">
        <v>12</v>
      </c>
      <c r="J60" s="22">
        <v>3000</v>
      </c>
      <c r="K60" s="22">
        <v>3000</v>
      </c>
      <c r="L60" s="44">
        <v>3</v>
      </c>
      <c r="M60" s="22">
        <v>0</v>
      </c>
      <c r="N60" s="38">
        <v>3</v>
      </c>
      <c r="O60" s="22">
        <v>0</v>
      </c>
      <c r="P60" s="38">
        <v>3</v>
      </c>
      <c r="Q60" s="22">
        <v>3000</v>
      </c>
      <c r="R60" s="44"/>
      <c r="S60" s="22"/>
      <c r="T60" s="44">
        <f t="shared" si="7"/>
        <v>9</v>
      </c>
      <c r="U60" s="22">
        <f t="shared" si="8"/>
        <v>3000</v>
      </c>
      <c r="V60" s="44">
        <f t="shared" si="9"/>
        <v>75</v>
      </c>
      <c r="W60" s="93">
        <f t="shared" si="6"/>
        <v>100</v>
      </c>
      <c r="X60" s="44">
        <f t="shared" si="10"/>
        <v>9</v>
      </c>
      <c r="Y60" s="22">
        <f t="shared" si="11"/>
        <v>3000</v>
      </c>
      <c r="Z60" s="38">
        <f t="shared" si="4"/>
        <v>15</v>
      </c>
      <c r="AA60" s="94">
        <f t="shared" si="5"/>
        <v>20</v>
      </c>
      <c r="AB60" s="29" t="s">
        <v>41</v>
      </c>
      <c r="AC60" s="30"/>
    </row>
    <row r="61" spans="1:29" s="5" customFormat="1" ht="38.25">
      <c r="A61" s="34"/>
      <c r="B61" s="2" t="s">
        <v>31</v>
      </c>
      <c r="C61" s="3"/>
      <c r="D61" s="49"/>
      <c r="E61" s="41"/>
      <c r="F61" s="22"/>
      <c r="G61" s="43"/>
      <c r="H61" s="22"/>
      <c r="I61" s="44"/>
      <c r="J61" s="22"/>
      <c r="K61" s="22"/>
      <c r="L61" s="44"/>
      <c r="M61" s="22"/>
      <c r="N61" s="38"/>
      <c r="O61" s="22"/>
      <c r="P61" s="38"/>
      <c r="Q61" s="22"/>
      <c r="R61" s="44"/>
      <c r="S61" s="22"/>
      <c r="T61" s="44"/>
      <c r="U61" s="22"/>
      <c r="V61" s="44"/>
      <c r="W61" s="93"/>
      <c r="X61" s="44"/>
      <c r="Y61" s="22"/>
      <c r="Z61" s="38"/>
      <c r="AA61" s="94"/>
      <c r="AB61" s="22"/>
      <c r="AC61" s="30"/>
    </row>
    <row r="62" spans="1:29" s="5" customFormat="1" ht="38.25">
      <c r="A62" s="34"/>
      <c r="B62" s="56" t="s">
        <v>32</v>
      </c>
      <c r="C62" s="52" t="s">
        <v>111</v>
      </c>
      <c r="D62" s="49" t="s">
        <v>128</v>
      </c>
      <c r="E62" s="41">
        <v>60</v>
      </c>
      <c r="F62" s="22">
        <v>17498</v>
      </c>
      <c r="G62" s="43">
        <v>0</v>
      </c>
      <c r="H62" s="22">
        <v>0</v>
      </c>
      <c r="I62" s="44">
        <v>12</v>
      </c>
      <c r="J62" s="22">
        <v>3500</v>
      </c>
      <c r="K62" s="22">
        <v>3498</v>
      </c>
      <c r="L62" s="44">
        <v>3</v>
      </c>
      <c r="M62" s="22">
        <v>0</v>
      </c>
      <c r="N62" s="38">
        <v>3</v>
      </c>
      <c r="O62" s="22">
        <v>0</v>
      </c>
      <c r="P62" s="38">
        <v>3</v>
      </c>
      <c r="Q62" s="22">
        <v>0</v>
      </c>
      <c r="R62" s="44"/>
      <c r="S62" s="22"/>
      <c r="T62" s="44">
        <f t="shared" si="7"/>
        <v>9</v>
      </c>
      <c r="U62" s="22">
        <f t="shared" si="8"/>
        <v>0</v>
      </c>
      <c r="V62" s="44">
        <f t="shared" si="9"/>
        <v>75</v>
      </c>
      <c r="W62" s="93">
        <f t="shared" si="6"/>
        <v>0</v>
      </c>
      <c r="X62" s="44">
        <f t="shared" si="10"/>
        <v>9</v>
      </c>
      <c r="Y62" s="22">
        <f t="shared" si="11"/>
        <v>0</v>
      </c>
      <c r="Z62" s="38">
        <f t="shared" si="4"/>
        <v>15</v>
      </c>
      <c r="AA62" s="94">
        <f t="shared" si="5"/>
        <v>0</v>
      </c>
      <c r="AB62" s="29" t="s">
        <v>41</v>
      </c>
      <c r="AC62" s="30"/>
    </row>
    <row r="63" spans="1:29" s="5" customFormat="1" ht="40.5" customHeight="1">
      <c r="A63" s="34"/>
      <c r="B63" s="58" t="s">
        <v>112</v>
      </c>
      <c r="C63" s="52"/>
      <c r="D63" s="49"/>
      <c r="E63" s="41"/>
      <c r="F63" s="22"/>
      <c r="G63" s="43"/>
      <c r="H63" s="22"/>
      <c r="I63" s="44"/>
      <c r="J63" s="22"/>
      <c r="K63" s="22"/>
      <c r="L63" s="44"/>
      <c r="M63" s="22"/>
      <c r="N63" s="38"/>
      <c r="O63" s="22"/>
      <c r="P63" s="38"/>
      <c r="Q63" s="22"/>
      <c r="R63" s="44"/>
      <c r="S63" s="22"/>
      <c r="T63" s="44"/>
      <c r="U63" s="22"/>
      <c r="V63" s="44"/>
      <c r="W63" s="93"/>
      <c r="X63" s="44"/>
      <c r="Y63" s="22"/>
      <c r="Z63" s="38"/>
      <c r="AA63" s="94"/>
      <c r="AB63" s="29"/>
      <c r="AC63" s="30"/>
    </row>
    <row r="64" spans="1:29" s="5" customFormat="1" ht="51">
      <c r="A64" s="34"/>
      <c r="B64" s="56" t="s">
        <v>120</v>
      </c>
      <c r="C64" s="52" t="s">
        <v>113</v>
      </c>
      <c r="D64" s="49" t="s">
        <v>128</v>
      </c>
      <c r="E64" s="41">
        <v>60</v>
      </c>
      <c r="F64" s="22">
        <f>5500+6050+6600+7150+7700</f>
        <v>33000</v>
      </c>
      <c r="G64" s="43">
        <v>0</v>
      </c>
      <c r="H64" s="22">
        <v>0</v>
      </c>
      <c r="I64" s="44">
        <v>12</v>
      </c>
      <c r="J64" s="22">
        <v>5500</v>
      </c>
      <c r="K64" s="22">
        <v>5500</v>
      </c>
      <c r="L64" s="44">
        <v>3</v>
      </c>
      <c r="M64" s="22">
        <v>5500</v>
      </c>
      <c r="N64" s="38">
        <v>3</v>
      </c>
      <c r="O64" s="22">
        <v>0</v>
      </c>
      <c r="P64" s="38">
        <v>3</v>
      </c>
      <c r="Q64" s="22">
        <v>0</v>
      </c>
      <c r="R64" s="44"/>
      <c r="S64" s="22"/>
      <c r="T64" s="44">
        <f t="shared" si="7"/>
        <v>9</v>
      </c>
      <c r="U64" s="22">
        <f t="shared" si="8"/>
        <v>5500</v>
      </c>
      <c r="V64" s="44">
        <f t="shared" si="9"/>
        <v>75</v>
      </c>
      <c r="W64" s="22">
        <f t="shared" si="6"/>
        <v>100</v>
      </c>
      <c r="X64" s="44">
        <f t="shared" si="10"/>
        <v>9</v>
      </c>
      <c r="Y64" s="22">
        <f t="shared" si="11"/>
        <v>5500</v>
      </c>
      <c r="Z64" s="38">
        <f t="shared" si="4"/>
        <v>15</v>
      </c>
      <c r="AA64" s="94">
        <f t="shared" si="5"/>
        <v>16.666666666666664</v>
      </c>
      <c r="AB64" s="29" t="s">
        <v>41</v>
      </c>
      <c r="AC64" s="30"/>
    </row>
    <row r="65" spans="1:29" s="5" customFormat="1" ht="25.5">
      <c r="A65" s="34"/>
      <c r="B65" s="56" t="s">
        <v>114</v>
      </c>
      <c r="C65" s="52" t="s">
        <v>115</v>
      </c>
      <c r="D65" s="49" t="s">
        <v>128</v>
      </c>
      <c r="E65" s="41">
        <v>60</v>
      </c>
      <c r="F65" s="22">
        <v>12500</v>
      </c>
      <c r="G65" s="70">
        <v>0</v>
      </c>
      <c r="H65" s="72">
        <v>0</v>
      </c>
      <c r="I65" s="44">
        <v>12</v>
      </c>
      <c r="J65" s="22">
        <v>2500</v>
      </c>
      <c r="K65" s="22">
        <v>2500</v>
      </c>
      <c r="L65" s="44">
        <v>3</v>
      </c>
      <c r="M65" s="22">
        <v>0</v>
      </c>
      <c r="N65" s="38">
        <v>3</v>
      </c>
      <c r="O65" s="22">
        <v>375</v>
      </c>
      <c r="P65" s="38">
        <v>3</v>
      </c>
      <c r="Q65" s="22">
        <v>0</v>
      </c>
      <c r="R65" s="44"/>
      <c r="S65" s="22"/>
      <c r="T65" s="44">
        <f t="shared" si="7"/>
        <v>9</v>
      </c>
      <c r="U65" s="22">
        <f t="shared" si="8"/>
        <v>375</v>
      </c>
      <c r="V65" s="44">
        <f t="shared" si="9"/>
        <v>75</v>
      </c>
      <c r="W65" s="93">
        <f t="shared" si="6"/>
        <v>15</v>
      </c>
      <c r="X65" s="44">
        <f t="shared" si="10"/>
        <v>9</v>
      </c>
      <c r="Y65" s="22">
        <f t="shared" si="11"/>
        <v>375</v>
      </c>
      <c r="Z65" s="38">
        <f t="shared" si="4"/>
        <v>15</v>
      </c>
      <c r="AA65" s="94">
        <f t="shared" si="5"/>
        <v>3</v>
      </c>
      <c r="AB65" s="29" t="s">
        <v>41</v>
      </c>
      <c r="AC65" s="30"/>
    </row>
    <row r="66" spans="1:29" s="5" customFormat="1" ht="25.5">
      <c r="A66" s="34"/>
      <c r="B66" s="56" t="s">
        <v>116</v>
      </c>
      <c r="C66" s="52" t="s">
        <v>117</v>
      </c>
      <c r="D66" s="49" t="s">
        <v>128</v>
      </c>
      <c r="E66" s="41">
        <v>60</v>
      </c>
      <c r="F66" s="22">
        <v>27500</v>
      </c>
      <c r="G66" s="43">
        <v>0</v>
      </c>
      <c r="H66" s="22">
        <v>0</v>
      </c>
      <c r="I66" s="44">
        <v>12</v>
      </c>
      <c r="J66" s="22">
        <v>5500</v>
      </c>
      <c r="K66" s="22">
        <v>5200</v>
      </c>
      <c r="L66" s="44">
        <v>3</v>
      </c>
      <c r="M66" s="22">
        <v>500</v>
      </c>
      <c r="N66" s="38">
        <v>3</v>
      </c>
      <c r="O66" s="22">
        <v>0</v>
      </c>
      <c r="P66" s="38">
        <v>3</v>
      </c>
      <c r="Q66" s="22">
        <f>4820-500</f>
        <v>4320</v>
      </c>
      <c r="R66" s="44"/>
      <c r="S66" s="22"/>
      <c r="T66" s="44">
        <f t="shared" si="7"/>
        <v>9</v>
      </c>
      <c r="U66" s="22">
        <f t="shared" si="8"/>
        <v>4820</v>
      </c>
      <c r="V66" s="44">
        <f t="shared" si="9"/>
        <v>75</v>
      </c>
      <c r="W66" s="93">
        <f t="shared" si="6"/>
        <v>92.692307692307693</v>
      </c>
      <c r="X66" s="44">
        <f t="shared" si="10"/>
        <v>9</v>
      </c>
      <c r="Y66" s="22">
        <f t="shared" si="11"/>
        <v>4820</v>
      </c>
      <c r="Z66" s="38">
        <f t="shared" si="4"/>
        <v>15</v>
      </c>
      <c r="AA66" s="94">
        <f t="shared" si="5"/>
        <v>17.527272727272727</v>
      </c>
      <c r="AB66" s="29" t="s">
        <v>41</v>
      </c>
      <c r="AC66" s="30"/>
    </row>
    <row r="67" spans="1:29" s="5" customFormat="1" ht="25.5">
      <c r="A67" s="34"/>
      <c r="B67" s="56" t="s">
        <v>118</v>
      </c>
      <c r="C67" s="52" t="s">
        <v>119</v>
      </c>
      <c r="D67" s="49" t="s">
        <v>128</v>
      </c>
      <c r="E67" s="41">
        <v>60</v>
      </c>
      <c r="F67" s="22">
        <v>24500</v>
      </c>
      <c r="G67" s="70">
        <v>0</v>
      </c>
      <c r="H67" s="72">
        <v>0</v>
      </c>
      <c r="I67" s="44">
        <v>12</v>
      </c>
      <c r="J67" s="22">
        <v>2500</v>
      </c>
      <c r="K67" s="22">
        <v>2500</v>
      </c>
      <c r="L67" s="44">
        <v>3</v>
      </c>
      <c r="M67" s="22">
        <v>2500</v>
      </c>
      <c r="N67" s="38">
        <v>3</v>
      </c>
      <c r="O67" s="22">
        <v>0</v>
      </c>
      <c r="P67" s="38">
        <v>3</v>
      </c>
      <c r="Q67" s="22">
        <v>0</v>
      </c>
      <c r="R67" s="44"/>
      <c r="S67" s="22"/>
      <c r="T67" s="44">
        <f t="shared" si="7"/>
        <v>9</v>
      </c>
      <c r="U67" s="22">
        <f t="shared" si="8"/>
        <v>2500</v>
      </c>
      <c r="V67" s="44">
        <f t="shared" si="9"/>
        <v>75</v>
      </c>
      <c r="W67" s="22">
        <f t="shared" si="6"/>
        <v>100</v>
      </c>
      <c r="X67" s="44">
        <f t="shared" si="10"/>
        <v>9</v>
      </c>
      <c r="Y67" s="22">
        <f t="shared" si="11"/>
        <v>2500</v>
      </c>
      <c r="Z67" s="38">
        <f t="shared" si="4"/>
        <v>15</v>
      </c>
      <c r="AA67" s="94">
        <f t="shared" si="5"/>
        <v>10.204081632653061</v>
      </c>
      <c r="AB67" s="29" t="s">
        <v>41</v>
      </c>
      <c r="AC67" s="30"/>
    </row>
    <row r="68" spans="1:29" s="5" customFormat="1" ht="38.25">
      <c r="A68" s="34"/>
      <c r="B68" s="58" t="s">
        <v>121</v>
      </c>
      <c r="C68" s="52"/>
      <c r="D68" s="49"/>
      <c r="E68" s="41"/>
      <c r="F68" s="22"/>
      <c r="G68" s="43"/>
      <c r="H68" s="22"/>
      <c r="I68" s="44"/>
      <c r="J68" s="22"/>
      <c r="K68" s="22"/>
      <c r="L68" s="44"/>
      <c r="M68" s="22"/>
      <c r="N68" s="38"/>
      <c r="O68" s="22"/>
      <c r="P68" s="38"/>
      <c r="Q68" s="22"/>
      <c r="R68" s="44"/>
      <c r="S68" s="22"/>
      <c r="T68" s="44"/>
      <c r="U68" s="22"/>
      <c r="V68" s="44"/>
      <c r="W68" s="93"/>
      <c r="X68" s="44"/>
      <c r="Y68" s="22"/>
      <c r="Z68" s="38"/>
      <c r="AA68" s="94"/>
      <c r="AB68" s="29"/>
      <c r="AC68" s="30"/>
    </row>
    <row r="69" spans="1:29" s="5" customFormat="1" ht="38.25">
      <c r="A69" s="34"/>
      <c r="B69" s="56" t="s">
        <v>122</v>
      </c>
      <c r="C69" s="52" t="s">
        <v>123</v>
      </c>
      <c r="D69" s="49" t="s">
        <v>128</v>
      </c>
      <c r="E69" s="41">
        <v>60</v>
      </c>
      <c r="F69" s="22">
        <v>26000</v>
      </c>
      <c r="G69" s="70">
        <v>0</v>
      </c>
      <c r="H69" s="72">
        <v>0</v>
      </c>
      <c r="I69" s="44">
        <v>12</v>
      </c>
      <c r="J69" s="22">
        <v>5000</v>
      </c>
      <c r="K69" s="22">
        <v>4000</v>
      </c>
      <c r="L69" s="44">
        <v>3</v>
      </c>
      <c r="M69" s="22">
        <v>1600</v>
      </c>
      <c r="N69" s="38">
        <v>3</v>
      </c>
      <c r="O69" s="22">
        <v>0</v>
      </c>
      <c r="P69" s="38">
        <v>3</v>
      </c>
      <c r="Q69" s="22">
        <f>2520-1600</f>
        <v>920</v>
      </c>
      <c r="R69" s="44"/>
      <c r="S69" s="22"/>
      <c r="T69" s="44">
        <f t="shared" si="7"/>
        <v>9</v>
      </c>
      <c r="U69" s="22">
        <f t="shared" si="8"/>
        <v>2520</v>
      </c>
      <c r="V69" s="44">
        <f t="shared" si="9"/>
        <v>75</v>
      </c>
      <c r="W69" s="22">
        <f t="shared" si="6"/>
        <v>63</v>
      </c>
      <c r="X69" s="44">
        <f t="shared" si="10"/>
        <v>9</v>
      </c>
      <c r="Y69" s="22">
        <f t="shared" si="11"/>
        <v>2520</v>
      </c>
      <c r="Z69" s="38">
        <f t="shared" si="4"/>
        <v>15</v>
      </c>
      <c r="AA69" s="94">
        <f t="shared" si="5"/>
        <v>9.6923076923076916</v>
      </c>
      <c r="AB69" s="29" t="s">
        <v>41</v>
      </c>
      <c r="AC69" s="30"/>
    </row>
    <row r="70" spans="1:29" s="5" customFormat="1" ht="38.25">
      <c r="A70" s="34"/>
      <c r="B70" s="2" t="s">
        <v>34</v>
      </c>
      <c r="C70" s="3"/>
      <c r="D70" s="49"/>
      <c r="E70" s="41"/>
      <c r="F70" s="22"/>
      <c r="G70" s="43"/>
      <c r="H70" s="22"/>
      <c r="I70" s="44"/>
      <c r="J70" s="22"/>
      <c r="K70" s="22"/>
      <c r="L70" s="44"/>
      <c r="M70" s="22"/>
      <c r="N70" s="38"/>
      <c r="O70" s="22"/>
      <c r="P70" s="38"/>
      <c r="Q70" s="22"/>
      <c r="R70" s="44"/>
      <c r="S70" s="22"/>
      <c r="T70" s="44"/>
      <c r="U70" s="22"/>
      <c r="V70" s="44"/>
      <c r="W70" s="93"/>
      <c r="X70" s="44"/>
      <c r="Y70" s="22"/>
      <c r="Z70" s="38"/>
      <c r="AA70" s="94"/>
      <c r="AB70" s="22"/>
      <c r="AC70" s="30"/>
    </row>
    <row r="71" spans="1:29" s="5" customFormat="1" ht="51">
      <c r="A71" s="34"/>
      <c r="B71" s="56" t="s">
        <v>124</v>
      </c>
      <c r="C71" s="52" t="s">
        <v>125</v>
      </c>
      <c r="D71" s="49" t="s">
        <v>128</v>
      </c>
      <c r="E71" s="41">
        <v>60</v>
      </c>
      <c r="F71" s="22">
        <f>3500+(3750*4)</f>
        <v>18500</v>
      </c>
      <c r="G71" s="43">
        <v>0</v>
      </c>
      <c r="H71" s="22">
        <v>0</v>
      </c>
      <c r="I71" s="44">
        <v>12</v>
      </c>
      <c r="J71" s="22">
        <v>3500</v>
      </c>
      <c r="K71" s="22">
        <v>3500</v>
      </c>
      <c r="L71" s="44">
        <v>3</v>
      </c>
      <c r="M71" s="66">
        <v>707.5</v>
      </c>
      <c r="N71" s="38">
        <v>3</v>
      </c>
      <c r="O71" s="22">
        <v>0</v>
      </c>
      <c r="P71" s="38">
        <v>3</v>
      </c>
      <c r="Q71" s="22">
        <v>0</v>
      </c>
      <c r="R71" s="44"/>
      <c r="S71" s="22"/>
      <c r="T71" s="44">
        <f t="shared" si="7"/>
        <v>9</v>
      </c>
      <c r="U71" s="66">
        <f t="shared" si="8"/>
        <v>707.5</v>
      </c>
      <c r="V71" s="44">
        <f t="shared" si="9"/>
        <v>75</v>
      </c>
      <c r="W71" s="93">
        <f t="shared" si="6"/>
        <v>20.214285714285715</v>
      </c>
      <c r="X71" s="44">
        <f t="shared" si="10"/>
        <v>9</v>
      </c>
      <c r="Y71" s="66">
        <f t="shared" si="11"/>
        <v>707.5</v>
      </c>
      <c r="Z71" s="38">
        <f t="shared" si="4"/>
        <v>15</v>
      </c>
      <c r="AA71" s="94">
        <f t="shared" si="5"/>
        <v>3.8243243243243241</v>
      </c>
      <c r="AB71" s="29" t="s">
        <v>41</v>
      </c>
      <c r="AC71" s="30"/>
    </row>
    <row r="72" spans="1:29" s="5" customFormat="1" ht="25.5">
      <c r="A72" s="34"/>
      <c r="B72" s="2" t="s">
        <v>28</v>
      </c>
      <c r="C72" s="3"/>
      <c r="D72" s="49"/>
      <c r="E72" s="41"/>
      <c r="F72" s="22"/>
      <c r="G72" s="43"/>
      <c r="H72" s="22"/>
      <c r="I72" s="44"/>
      <c r="J72" s="22"/>
      <c r="K72" s="22"/>
      <c r="L72" s="44"/>
      <c r="M72" s="22"/>
      <c r="N72" s="38"/>
      <c r="O72" s="22"/>
      <c r="P72" s="38"/>
      <c r="Q72" s="22"/>
      <c r="R72" s="44"/>
      <c r="S72" s="22"/>
      <c r="T72" s="44"/>
      <c r="U72" s="22"/>
      <c r="V72" s="44"/>
      <c r="W72" s="93"/>
      <c r="X72" s="44"/>
      <c r="Y72" s="22"/>
      <c r="Z72" s="38"/>
      <c r="AA72" s="94"/>
      <c r="AB72" s="22"/>
      <c r="AC72" s="30"/>
    </row>
    <row r="73" spans="1:29" s="5" customFormat="1" ht="38.25">
      <c r="A73" s="110"/>
      <c r="B73" s="111" t="s">
        <v>126</v>
      </c>
      <c r="C73" s="112" t="s">
        <v>127</v>
      </c>
      <c r="D73" s="113" t="s">
        <v>128</v>
      </c>
      <c r="E73" s="114">
        <v>60</v>
      </c>
      <c r="F73" s="115">
        <v>19500</v>
      </c>
      <c r="G73" s="116">
        <v>0</v>
      </c>
      <c r="H73" s="115">
        <v>0</v>
      </c>
      <c r="I73" s="117">
        <v>12</v>
      </c>
      <c r="J73" s="115">
        <v>3500</v>
      </c>
      <c r="K73" s="115">
        <v>3500</v>
      </c>
      <c r="L73" s="117">
        <v>3</v>
      </c>
      <c r="M73" s="115">
        <v>0</v>
      </c>
      <c r="N73" s="119">
        <v>3</v>
      </c>
      <c r="O73" s="115">
        <v>0</v>
      </c>
      <c r="P73" s="119">
        <v>3</v>
      </c>
      <c r="Q73" s="115">
        <v>500</v>
      </c>
      <c r="R73" s="117"/>
      <c r="S73" s="115"/>
      <c r="T73" s="117">
        <f t="shared" si="7"/>
        <v>9</v>
      </c>
      <c r="U73" s="115">
        <f t="shared" si="8"/>
        <v>500</v>
      </c>
      <c r="V73" s="117">
        <f t="shared" si="9"/>
        <v>75</v>
      </c>
      <c r="W73" s="118">
        <f t="shared" si="6"/>
        <v>14.285714285714285</v>
      </c>
      <c r="X73" s="117">
        <f t="shared" si="10"/>
        <v>9</v>
      </c>
      <c r="Y73" s="115">
        <f t="shared" si="11"/>
        <v>500</v>
      </c>
      <c r="Z73" s="119">
        <f t="shared" si="4"/>
        <v>15</v>
      </c>
      <c r="AA73" s="120">
        <f t="shared" si="5"/>
        <v>2.5641025641025639</v>
      </c>
      <c r="AB73" s="121" t="s">
        <v>41</v>
      </c>
      <c r="AC73" s="122"/>
    </row>
    <row r="74" spans="1:29" s="5" customFormat="1" ht="42.75" customHeight="1">
      <c r="A74" s="123"/>
      <c r="B74" s="136" t="s">
        <v>138</v>
      </c>
      <c r="C74" s="52"/>
      <c r="D74" s="49"/>
      <c r="E74" s="41"/>
      <c r="F74" s="22"/>
      <c r="G74" s="70"/>
      <c r="H74" s="22"/>
      <c r="I74" s="44"/>
      <c r="J74" s="22"/>
      <c r="K74" s="22"/>
      <c r="L74" s="44"/>
      <c r="M74" s="22"/>
      <c r="N74" s="38"/>
      <c r="O74" s="22"/>
      <c r="P74" s="38"/>
      <c r="Q74" s="22"/>
      <c r="R74" s="44"/>
      <c r="S74" s="22"/>
      <c r="T74" s="44"/>
      <c r="U74" s="22"/>
      <c r="V74" s="44"/>
      <c r="W74" s="93"/>
      <c r="X74" s="44"/>
      <c r="Y74" s="22"/>
      <c r="Z74" s="38"/>
      <c r="AA74" s="94"/>
      <c r="AB74" s="29"/>
      <c r="AC74" s="30"/>
    </row>
    <row r="75" spans="1:29" s="5" customFormat="1" ht="26.25" thickBot="1">
      <c r="A75" s="124"/>
      <c r="B75" s="137" t="s">
        <v>139</v>
      </c>
      <c r="C75" s="60" t="s">
        <v>140</v>
      </c>
      <c r="D75" s="50" t="s">
        <v>128</v>
      </c>
      <c r="E75" s="42">
        <v>54</v>
      </c>
      <c r="F75" s="31">
        <v>20000</v>
      </c>
      <c r="G75" s="73"/>
      <c r="H75" s="31"/>
      <c r="I75" s="46">
        <v>6</v>
      </c>
      <c r="J75" s="31"/>
      <c r="K75" s="31">
        <v>5000</v>
      </c>
      <c r="L75" s="46"/>
      <c r="M75" s="31"/>
      <c r="N75" s="125">
        <v>0</v>
      </c>
      <c r="O75" s="31">
        <v>0</v>
      </c>
      <c r="P75" s="125">
        <v>3</v>
      </c>
      <c r="Q75" s="31">
        <v>2975</v>
      </c>
      <c r="R75" s="46"/>
      <c r="S75" s="31"/>
      <c r="T75" s="117">
        <f t="shared" ref="T75" si="12">L75+N75+P75+R75</f>
        <v>3</v>
      </c>
      <c r="U75" s="115">
        <f t="shared" ref="U75" si="13">M75+O75+Q75+S75</f>
        <v>2975</v>
      </c>
      <c r="V75" s="117">
        <f t="shared" ref="V75" si="14">(T75/I75)*100</f>
        <v>50</v>
      </c>
      <c r="W75" s="118">
        <f t="shared" ref="W75" si="15">(U75/K75)*100</f>
        <v>59.5</v>
      </c>
      <c r="X75" s="117">
        <f t="shared" ref="X75" si="16">T75+G75</f>
        <v>3</v>
      </c>
      <c r="Y75" s="115">
        <f t="shared" ref="Y75" si="17">U75+H75</f>
        <v>2975</v>
      </c>
      <c r="Z75" s="138">
        <f t="shared" ref="Z75" si="18">(X75/E75)*100</f>
        <v>5.5555555555555554</v>
      </c>
      <c r="AA75" s="120">
        <f t="shared" ref="AA75" si="19">(Y75/F75)*100</f>
        <v>14.875</v>
      </c>
      <c r="AB75" s="121" t="s">
        <v>41</v>
      </c>
      <c r="AC75" s="32"/>
    </row>
    <row r="76" spans="1:29" s="5" customFormat="1" ht="26.25" thickTop="1">
      <c r="A76" s="84"/>
      <c r="B76" s="85" t="s">
        <v>35</v>
      </c>
      <c r="C76" s="86"/>
      <c r="D76" s="87"/>
      <c r="E76" s="88"/>
      <c r="F76" s="74">
        <f>SUM(F16:F75)</f>
        <v>1442923</v>
      </c>
      <c r="G76" s="74"/>
      <c r="H76" s="74">
        <f>SUM(H16:H75)</f>
        <v>0</v>
      </c>
      <c r="I76" s="74"/>
      <c r="J76" s="74">
        <f t="shared" ref="J76:K76" si="20">SUM(J16:J75)</f>
        <v>326015</v>
      </c>
      <c r="K76" s="74">
        <f t="shared" si="20"/>
        <v>345055.5</v>
      </c>
      <c r="L76" s="77"/>
      <c r="M76" s="74">
        <f>SUM(M16:M75)</f>
        <v>71773.656000000003</v>
      </c>
      <c r="N76" s="88"/>
      <c r="O76" s="74">
        <f>SUM(O16:O75)</f>
        <v>61649.994999999995</v>
      </c>
      <c r="P76" s="133"/>
      <c r="Q76" s="74">
        <f>SUM(Q16:Q75)</f>
        <v>72399.682000000001</v>
      </c>
      <c r="R76" s="75"/>
      <c r="S76" s="74">
        <f>SUM(S16:S75)</f>
        <v>0</v>
      </c>
      <c r="T76" s="75"/>
      <c r="U76" s="135">
        <f>SUM(U16:U75)</f>
        <v>205823.33300000001</v>
      </c>
      <c r="V76" s="75"/>
      <c r="W76" s="134">
        <f>SUM(W16:W75)</f>
        <v>2859.1255871202511</v>
      </c>
      <c r="X76" s="74"/>
      <c r="Y76" s="135">
        <f>SUM(Y16:Y75)</f>
        <v>205823.33300000001</v>
      </c>
      <c r="Z76" s="74"/>
      <c r="AA76" s="134">
        <f>SUM(AA16:AA75)</f>
        <v>577.53207426544645</v>
      </c>
      <c r="AB76" s="75"/>
      <c r="AC76" s="76"/>
    </row>
    <row r="77" spans="1:29" s="5" customFormat="1" ht="15.75" thickBot="1">
      <c r="A77" s="89"/>
      <c r="B77" s="90" t="s">
        <v>36</v>
      </c>
      <c r="C77" s="91"/>
      <c r="D77" s="92"/>
      <c r="E77" s="91"/>
      <c r="F77" s="78">
        <f>F76+500000000</f>
        <v>501442923</v>
      </c>
      <c r="G77" s="79"/>
      <c r="H77" s="79">
        <f>H76+500000000</f>
        <v>500000000</v>
      </c>
      <c r="I77" s="79"/>
      <c r="J77" s="79">
        <f>J76+500000000</f>
        <v>500326015</v>
      </c>
      <c r="K77" s="79"/>
      <c r="L77" s="80"/>
      <c r="M77" s="81"/>
      <c r="N77" s="130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2"/>
    </row>
    <row r="78" spans="1:29" s="7" customFormat="1" ht="15.75" thickTop="1">
      <c r="D78" s="64"/>
      <c r="L78" s="64"/>
      <c r="N78" s="131"/>
    </row>
    <row r="79" spans="1:29" s="7" customFormat="1">
      <c r="D79" s="64"/>
      <c r="L79" s="64"/>
      <c r="N79" s="131"/>
    </row>
    <row r="80" spans="1:29" s="7" customFormat="1">
      <c r="D80" s="64"/>
      <c r="L80" s="64"/>
      <c r="N80" s="131"/>
    </row>
    <row r="81" spans="4:14" s="7" customFormat="1">
      <c r="D81" s="64"/>
      <c r="L81" s="64"/>
      <c r="N81" s="131"/>
    </row>
    <row r="82" spans="4:14" s="7" customFormat="1">
      <c r="D82" s="64"/>
      <c r="L82" s="64"/>
      <c r="N82" s="131"/>
    </row>
    <row r="83" spans="4:14" s="7" customFormat="1">
      <c r="D83" s="64"/>
      <c r="L83" s="64"/>
      <c r="N83" s="131"/>
    </row>
    <row r="84" spans="4:14" s="7" customFormat="1">
      <c r="D84" s="64"/>
      <c r="L84" s="64"/>
      <c r="N84" s="131"/>
    </row>
  </sheetData>
  <mergeCells count="37">
    <mergeCell ref="X7:Y7"/>
    <mergeCell ref="Z7:AA7"/>
    <mergeCell ref="AB7:AB8"/>
    <mergeCell ref="AC7:AC8"/>
    <mergeCell ref="L7:M7"/>
    <mergeCell ref="N7:O7"/>
    <mergeCell ref="P7:Q7"/>
    <mergeCell ref="R7:S7"/>
    <mergeCell ref="T7:U7"/>
    <mergeCell ref="V7:W7"/>
    <mergeCell ref="L6:M6"/>
    <mergeCell ref="N6:O6"/>
    <mergeCell ref="P6:Q6"/>
    <mergeCell ref="R6:S6"/>
    <mergeCell ref="A7:A8"/>
    <mergeCell ref="B7:B8"/>
    <mergeCell ref="C7:C8"/>
    <mergeCell ref="E7:F7"/>
    <mergeCell ref="G7:H7"/>
    <mergeCell ref="D7:D8"/>
    <mergeCell ref="I7:K7"/>
    <mergeCell ref="AC5:AC6"/>
    <mergeCell ref="A1:AC1"/>
    <mergeCell ref="A2:AC2"/>
    <mergeCell ref="A5:A6"/>
    <mergeCell ref="B5:B6"/>
    <mergeCell ref="C5:C6"/>
    <mergeCell ref="E5:F6"/>
    <mergeCell ref="G5:H6"/>
    <mergeCell ref="L5:S5"/>
    <mergeCell ref="D5:D6"/>
    <mergeCell ref="I5:K6"/>
    <mergeCell ref="T5:U6"/>
    <mergeCell ref="V5:W6"/>
    <mergeCell ref="X5:Y6"/>
    <mergeCell ref="Z5:AA6"/>
    <mergeCell ref="AB5:AB6"/>
  </mergeCells>
  <printOptions horizontalCentered="1"/>
  <pageMargins left="0.15748031496062992" right="0.11811023622047245" top="0.39370078740157483" bottom="0.19685039370078741" header="0" footer="0"/>
  <pageSetup paperSize="256" scale="64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5"/>
  <sheetViews>
    <sheetView topLeftCell="A7" workbookViewId="0">
      <selection activeCell="C26" sqref="C26"/>
    </sheetView>
  </sheetViews>
  <sheetFormatPr defaultRowHeight="15"/>
  <cols>
    <col min="1" max="1" width="5" style="95" customWidth="1"/>
    <col min="2" max="2" width="57.85546875" style="95" customWidth="1"/>
    <col min="3" max="3" width="55" style="95" customWidth="1"/>
    <col min="4" max="4" width="17.42578125" style="95" customWidth="1"/>
    <col min="5" max="10" width="9.140625" style="95" customWidth="1"/>
    <col min="11" max="16384" width="9.140625" style="95"/>
  </cols>
  <sheetData>
    <row r="1" spans="1:7" ht="18">
      <c r="A1" s="171" t="s">
        <v>132</v>
      </c>
      <c r="B1" s="171"/>
      <c r="C1" s="171"/>
      <c r="D1" s="171"/>
    </row>
    <row r="3" spans="1:7" ht="15.75" thickBot="1"/>
    <row r="4" spans="1:7" s="96" customFormat="1" ht="29.25" customHeight="1" thickBot="1">
      <c r="A4" s="106" t="s">
        <v>133</v>
      </c>
      <c r="B4" s="107" t="s">
        <v>134</v>
      </c>
      <c r="C4" s="107" t="s">
        <v>135</v>
      </c>
      <c r="D4" s="108" t="s">
        <v>136</v>
      </c>
      <c r="E4" s="109"/>
      <c r="F4" s="109"/>
      <c r="G4" s="109"/>
    </row>
    <row r="5" spans="1:7" ht="24.95" customHeight="1">
      <c r="A5" s="97"/>
      <c r="B5" s="98"/>
      <c r="C5" s="98"/>
      <c r="D5" s="99"/>
    </row>
    <row r="6" spans="1:7" ht="24.95" customHeight="1">
      <c r="A6" s="100"/>
      <c r="B6" s="101"/>
      <c r="C6" s="101"/>
      <c r="D6" s="102"/>
    </row>
    <row r="7" spans="1:7" ht="24.95" customHeight="1">
      <c r="A7" s="100"/>
      <c r="B7" s="101"/>
      <c r="C7" s="101"/>
      <c r="D7" s="102"/>
    </row>
    <row r="8" spans="1:7" ht="24.95" customHeight="1">
      <c r="A8" s="100"/>
      <c r="B8" s="101"/>
      <c r="C8" s="101"/>
      <c r="D8" s="102"/>
    </row>
    <row r="9" spans="1:7" ht="24.95" customHeight="1">
      <c r="A9" s="100"/>
      <c r="B9" s="101"/>
      <c r="C9" s="101"/>
      <c r="D9" s="102"/>
    </row>
    <row r="10" spans="1:7" ht="24.95" customHeight="1">
      <c r="A10" s="100"/>
      <c r="B10" s="101"/>
      <c r="C10" s="101"/>
      <c r="D10" s="102"/>
    </row>
    <row r="11" spans="1:7" ht="24.95" customHeight="1">
      <c r="A11" s="100"/>
      <c r="B11" s="101"/>
      <c r="C11" s="101"/>
      <c r="D11" s="102"/>
    </row>
    <row r="12" spans="1:7" ht="24.95" customHeight="1">
      <c r="A12" s="100"/>
      <c r="B12" s="101"/>
      <c r="C12" s="101"/>
      <c r="D12" s="102"/>
    </row>
    <row r="13" spans="1:7" ht="24.95" customHeight="1">
      <c r="A13" s="100"/>
      <c r="B13" s="101"/>
      <c r="C13" s="101"/>
      <c r="D13" s="102"/>
    </row>
    <row r="14" spans="1:7" ht="24.95" customHeight="1" thickBot="1">
      <c r="A14" s="103"/>
      <c r="B14" s="104"/>
      <c r="C14" s="104"/>
      <c r="D14" s="105"/>
    </row>
    <row r="17" spans="3:4">
      <c r="C17" s="170" t="s">
        <v>137</v>
      </c>
      <c r="D17" s="170"/>
    </row>
    <row r="18" spans="3:4">
      <c r="C18" s="170" t="s">
        <v>143</v>
      </c>
      <c r="D18" s="170"/>
    </row>
    <row r="23" spans="3:4" ht="15.75">
      <c r="C23" s="172" t="s">
        <v>144</v>
      </c>
      <c r="D23" s="172"/>
    </row>
    <row r="24" spans="3:4">
      <c r="C24" s="170" t="s">
        <v>145</v>
      </c>
      <c r="D24" s="170"/>
    </row>
    <row r="25" spans="3:4">
      <c r="C25" s="170" t="s">
        <v>146</v>
      </c>
      <c r="D25" s="170"/>
    </row>
  </sheetData>
  <mergeCells count="6">
    <mergeCell ref="C25:D25"/>
    <mergeCell ref="A1:D1"/>
    <mergeCell ref="C17:D17"/>
    <mergeCell ref="C18:D18"/>
    <mergeCell ref="C23:D23"/>
    <mergeCell ref="C24:D24"/>
  </mergeCells>
  <pageMargins left="1.17" right="1.1100000000000001" top="0.78740157480314965" bottom="0.39370078740157483" header="0.31496062992125984" footer="0.31496062992125984"/>
  <pageSetup paperSize="256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Evaluasi</vt:lpstr>
      <vt:lpstr>Mslh</vt:lpstr>
      <vt:lpstr>Evaluasi!Print_Titles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Agatha comp</dc:creator>
  <cp:lastModifiedBy>Kec_Tretep</cp:lastModifiedBy>
  <cp:lastPrinted>2014-11-29T05:51:54Z</cp:lastPrinted>
  <dcterms:created xsi:type="dcterms:W3CDTF">2013-07-20T02:06:47Z</dcterms:created>
  <dcterms:modified xsi:type="dcterms:W3CDTF">2014-12-01T02:07:58Z</dcterms:modified>
</cp:coreProperties>
</file>